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540" windowWidth="11970" windowHeight="2985" activeTab="0"/>
  </bookViews>
  <sheets>
    <sheet name="Лот 1" sheetId="1" r:id="rId1"/>
    <sheet name="Лот 2" sheetId="2" r:id="rId2"/>
    <sheet name="Лот 3" sheetId="3" r:id="rId3"/>
    <sheet name="Лот 4" sheetId="4" r:id="rId4"/>
    <sheet name="Лот 5" sheetId="5" r:id="rId5"/>
    <sheet name="Лот 6" sheetId="6" r:id="rId6"/>
    <sheet name="Лот 7" sheetId="7" r:id="rId7"/>
    <sheet name="Лот 8" sheetId="8" r:id="rId8"/>
    <sheet name="Лот 9" sheetId="9" r:id="rId9"/>
    <sheet name="Лот 10" sheetId="10" r:id="rId10"/>
    <sheet name="Лот 11" sheetId="11" r:id="rId11"/>
    <sheet name="Лот 12" sheetId="12" r:id="rId12"/>
    <sheet name="Лот 13" sheetId="13" r:id="rId13"/>
    <sheet name="Лот 14" sheetId="14" r:id="rId14"/>
    <sheet name="Лот 15" sheetId="15" r:id="rId15"/>
    <sheet name="Лот 16" sheetId="16" r:id="rId16"/>
    <sheet name="Лот 17" sheetId="17" r:id="rId17"/>
    <sheet name="Лот 18" sheetId="18" r:id="rId18"/>
    <sheet name="Лот 19" sheetId="19" r:id="rId19"/>
    <sheet name="Лот 20" sheetId="20" r:id="rId20"/>
    <sheet name="Лот 21" sheetId="21" r:id="rId21"/>
    <sheet name="Лот 22" sheetId="22" r:id="rId22"/>
    <sheet name="Лот 23" sheetId="23" r:id="rId23"/>
    <sheet name="Лот 24" sheetId="24" r:id="rId24"/>
    <sheet name="Лот 25" sheetId="25" r:id="rId25"/>
    <sheet name="Лот 26" sheetId="26" r:id="rId26"/>
    <sheet name="Лот 27" sheetId="27" r:id="rId27"/>
    <sheet name="Лот 28" sheetId="28" r:id="rId28"/>
  </sheets>
  <definedNames/>
  <calcPr fullCalcOnLoad="1"/>
</workbook>
</file>

<file path=xl/sharedStrings.xml><?xml version="1.0" encoding="utf-8"?>
<sst xmlns="http://schemas.openxmlformats.org/spreadsheetml/2006/main" count="2807" uniqueCount="214">
  <si>
    <t>кв.м</t>
  </si>
  <si>
    <t>Наименование работ и услуг</t>
  </si>
  <si>
    <t>Периодичность</t>
  </si>
  <si>
    <t>Годовая плата (рублей)</t>
  </si>
  <si>
    <t>Стоимость на 1 кв.м общей площади (руб. в мес.)</t>
  </si>
  <si>
    <t xml:space="preserve">1. </t>
  </si>
  <si>
    <t>2 раза в неделю</t>
  </si>
  <si>
    <t>1 раз в год</t>
  </si>
  <si>
    <t>Уборка мусора с газона</t>
  </si>
  <si>
    <t>Ликвидация наледи</t>
  </si>
  <si>
    <t>Обрезка деревьев и кустарников</t>
  </si>
  <si>
    <t>Вывоз твердых бытовых отходов</t>
  </si>
  <si>
    <t>Ежедневно</t>
  </si>
  <si>
    <t>Вывоз крупногабаритного мусора</t>
  </si>
  <si>
    <t>По мере необходимости</t>
  </si>
  <si>
    <t>Укрепление водосточных труб, колен и воронок</t>
  </si>
  <si>
    <t>Консервация системы центрального отопления, ремонт просевшей отмостки</t>
  </si>
  <si>
    <t>Ремонт, регулировка, промывка, испытание, расконсервация систем центрального отопления, утепление и прочистка дымовентиляционных каналов, проверка состояния и ремонт продухов в цоколях зданий, ремонт и укрепление входных дверей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</si>
  <si>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водопровода, канализации, теплоснабжения</t>
  </si>
  <si>
    <t xml:space="preserve">Аварийное обслуживание </t>
  </si>
  <si>
    <t>Постоянно на системах водоснабжения, теплоснабжения, канализации, энергоснабжения, газоснабжения</t>
  </si>
  <si>
    <t>Выполнение заявок населения</t>
  </si>
  <si>
    <t>Постоянно</t>
  </si>
  <si>
    <t>Вывоз смета</t>
  </si>
  <si>
    <t>ИТОГО</t>
  </si>
  <si>
    <t>№ п/п</t>
  </si>
  <si>
    <t>Перечень работ, материалы</t>
  </si>
  <si>
    <t>Объем работ ед. изм. / кол-во</t>
  </si>
  <si>
    <t>Стоимость работ, всего, руб.</t>
  </si>
  <si>
    <t>Стоимость работ,                        1 кв.м в месяц, руб.</t>
  </si>
  <si>
    <t>Гарантийный срок  на выполненные работы, лет</t>
  </si>
  <si>
    <t>Итого</t>
  </si>
  <si>
    <t>Размер платы за содержание и ремонт жилого помещения в год  руб.</t>
  </si>
  <si>
    <t>Стоимость на 1 кв. м в месяц, руб.</t>
  </si>
  <si>
    <t xml:space="preserve">2. </t>
  </si>
  <si>
    <t>Очистка и помывка фасадов здания от объявлений, плакатов</t>
  </si>
  <si>
    <t>Стоимость работ,                            1 кв.м в месяц, руб.</t>
  </si>
  <si>
    <t>I. Услуги вывоза бытовых отходов</t>
  </si>
  <si>
    <t>Утепление и прочистка дымовентиляционных каналов, проверка состояния и ремонт продухов в цоколях зданий, ремонт и укрепление входных дверей</t>
  </si>
  <si>
    <t>III. Проведение технических осмотров и мелкий ремонт</t>
  </si>
  <si>
    <t>Постоянно на системах водоснабжения, энергоснабжения, газоснабжения</t>
  </si>
  <si>
    <t>IV. Устранение аварии и выполнение заявок населения</t>
  </si>
  <si>
    <t xml:space="preserve">2 раза в год 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</si>
  <si>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</si>
  <si>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</si>
  <si>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Постоянно на системах  энергоснабжения, газоснабжения</t>
  </si>
  <si>
    <t>2 кв.м</t>
  </si>
  <si>
    <t>3 кв.м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</si>
  <si>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водопровода, канализации</t>
  </si>
  <si>
    <t>Постоянно на системах водоснабжения,  канализации, энергоснабжения, газоснабжения</t>
  </si>
  <si>
    <t>Постоянно на системах водоснабжения, канализации, энергоснабжения, газоснабжения</t>
  </si>
  <si>
    <t>Лот № 1</t>
  </si>
  <si>
    <t>Лот № 2</t>
  </si>
  <si>
    <t>Лот № 3</t>
  </si>
  <si>
    <t>Лот № 4</t>
  </si>
  <si>
    <t>Лот № 5</t>
  </si>
  <si>
    <t>Лот № 6</t>
  </si>
  <si>
    <t>Лот № 8</t>
  </si>
  <si>
    <t>Лот № 9</t>
  </si>
  <si>
    <t>Лот № 10</t>
  </si>
  <si>
    <t>Лот № 12</t>
  </si>
  <si>
    <t>Лот № 13</t>
  </si>
  <si>
    <t>Лот № 15</t>
  </si>
  <si>
    <t>Лот № 16</t>
  </si>
  <si>
    <t>Лот № 17</t>
  </si>
  <si>
    <t>Лот № 18</t>
  </si>
  <si>
    <t>Лот № 19</t>
  </si>
  <si>
    <t>Лот № 21</t>
  </si>
  <si>
    <t>0,5 кв.м</t>
  </si>
  <si>
    <t>Лот № 22</t>
  </si>
  <si>
    <t>Лот № 23</t>
  </si>
  <si>
    <t>Лот № 24</t>
  </si>
  <si>
    <t>Лот № 25</t>
  </si>
  <si>
    <t>Лот № 26</t>
  </si>
  <si>
    <t>Лот № 27</t>
  </si>
  <si>
    <t>Лот № 28</t>
  </si>
  <si>
    <t>Размер платы за содержание и ремонт жилого помещения по лоту № 6 в год (руб.)</t>
  </si>
  <si>
    <t>Размер платы за содержание и ремонт жилого помещения по лоту № 1 в год (руб.)</t>
  </si>
  <si>
    <t>Размер платы за содержание и ремонт жилого помещения по лоту № 2 в год (руб.)</t>
  </si>
  <si>
    <t>Размер платы за содержание и ремонт жилого помещения по лоту № 3 в год (руб.)</t>
  </si>
  <si>
    <t>Размер платы за содержание и ремонт жилого помещения по лоту № 7 в год (руб.)</t>
  </si>
  <si>
    <t>Размер платы за содержание и ремонт жилого помещения по лоту № 8 в год (руб.)</t>
  </si>
  <si>
    <t>Размер платы за содержание и ремонт жилого помещения по лоту № 9 в год (руб.)</t>
  </si>
  <si>
    <t>Размер платы за содержание и ремонт жилого помещения по лоту № 10 в год (руб.)</t>
  </si>
  <si>
    <t>Размер платы за содержание и ремонт жилого помещения по лоту № 11 в год (руб.)</t>
  </si>
  <si>
    <t>Размер платы за содержание и ремонт жилого помещения по лоту № 12 в год (руб.)</t>
  </si>
  <si>
    <t>Размер платы за содержание и ремонт жилого помещения по лоту № 13 в год (руб.)</t>
  </si>
  <si>
    <t>Размер платы за содержание и ремонт жилого помещения по лоту № 14 в год (руб.)</t>
  </si>
  <si>
    <t>Размер платы за содержание и ремонт жилого помещения по лоту № 15 в год (руб.)</t>
  </si>
  <si>
    <t>Размер платы за содержание и ремонт жилого помещения по лоту № 16 в год (руб.)</t>
  </si>
  <si>
    <t>Размер платы за содержание и ремонт жилого помещения по лоту № 17 в год (руб.)</t>
  </si>
  <si>
    <t>Размер платы за содержание и ремонт жилого помещения по лоту № 18 в год (руб.)</t>
  </si>
  <si>
    <t>Размер платы за содержание и ремонт жилого помещения по лоту № 19 в год (руб.)</t>
  </si>
  <si>
    <t>Размер платы за содержание и ремонт жилого помещения по лоту № 20 в год (руб.)</t>
  </si>
  <si>
    <t>Размер платы за содержание и ремонт жилого помещения по лоту № 21 в год (руб.)</t>
  </si>
  <si>
    <t>Размер платы за содержание и ремонт жилого помещения по лоту № 22 в год (руб.)</t>
  </si>
  <si>
    <t>Размер платы за содержание и ремонт жилого помещения по лоту № 23 в год (руб.)</t>
  </si>
  <si>
    <t>Размер платы за содержание и ремонт жилого помещения по лоту № 24 в год (руб.)</t>
  </si>
  <si>
    <t>Размер платы за содержание и ремонт жилого помещения по лоту № 25 в год (руб.)</t>
  </si>
  <si>
    <t>Размер платы за содержание и ремонт жилого помещения по лоту № 26 в год (руб.)</t>
  </si>
  <si>
    <t>Размер платы за содержание и ремонт жилого помещения по лоту № 27 в год (руб.)</t>
  </si>
  <si>
    <t>Размер платы за содержание и ремонт жилого помещения по лоту № 28 в год (руб.)</t>
  </si>
  <si>
    <t>II. Уборка земельного участка входящего в состав комплекса имущества муниципального жилого дома</t>
  </si>
  <si>
    <t>II. Подготовка муниципального жилого дома к сезонной эксплуатации</t>
  </si>
  <si>
    <t>Обязательные работы и услуги по содержанию и ремонту комплекса имущества  в муниципальном жилом доме, являющегося объектом конкурса</t>
  </si>
  <si>
    <t>Дополнительные работы и услуги по содержанию и ремонту комплекса имущества  в муниципальном жилом доме, являющегося объектом конкурса</t>
  </si>
  <si>
    <t>Лот № 20</t>
  </si>
  <si>
    <t>Лот № 7</t>
  </si>
  <si>
    <t>ул. Лагерная, д. 9</t>
  </si>
  <si>
    <t>Обязательные работы и услуги по содержанию и ремонту комплекса имущества в муниципальном жилом доме, являющегося объектом конкурса</t>
  </si>
  <si>
    <t>Ремонт отмостки</t>
  </si>
  <si>
    <t>Дополнительные работы и услуги по содержанию и ремонту комплекса имущества в муниципальном жилом доме, являющегося объектом конкурса</t>
  </si>
  <si>
    <t>ул. Стахановская, д. 4</t>
  </si>
  <si>
    <t>ул. Стахановская, д. 5</t>
  </si>
  <si>
    <t>2-й Зеленодольский туп., д. 5</t>
  </si>
  <si>
    <t>ул. Газопромысловая, д. 14</t>
  </si>
  <si>
    <t>ул. Нефтепромысловая, д. 14</t>
  </si>
  <si>
    <t>ул. Мещановка, д. 1</t>
  </si>
  <si>
    <t>ул. Молодежная, д. 14</t>
  </si>
  <si>
    <t>3,5 кв.м</t>
  </si>
  <si>
    <t>ул. Молодежная, д. 30</t>
  </si>
  <si>
    <t>ул. Мелиораторов, д. 1а</t>
  </si>
  <si>
    <t>ул. Мелиораторов, д. 1б</t>
  </si>
  <si>
    <t>I. Санитарные работы по содержанию помещений общего пользования</t>
  </si>
  <si>
    <t>ул. Гвардейская, д. 24а</t>
  </si>
  <si>
    <t>I. Содержание помещений общего пользования</t>
  </si>
  <si>
    <t>Подметание полов во всех помещениях общего пользования</t>
  </si>
  <si>
    <t>1 раз в неделю</t>
  </si>
  <si>
    <t xml:space="preserve">5. </t>
  </si>
  <si>
    <t>Мытье лестничных площадок и маршей</t>
  </si>
  <si>
    <t>2 раза в год</t>
  </si>
  <si>
    <t>Мытье окон в помещениях общего пользования</t>
  </si>
  <si>
    <t>Уборка подвального помещения</t>
  </si>
  <si>
    <t>Подметание земельного участка в летний период</t>
  </si>
  <si>
    <t>Сдвижка и подметание снега при отсутствии снегопадов</t>
  </si>
  <si>
    <t>3 раза в месяц</t>
  </si>
  <si>
    <t>Сдвижка и подметание снега при снегопаде</t>
  </si>
  <si>
    <t>По мере необходимости, через  3 часа во время снегопада</t>
  </si>
  <si>
    <t>Выкашивание газонов</t>
  </si>
  <si>
    <t>5 раз в год</t>
  </si>
  <si>
    <t>Сбрасывание снега с крыш, сбивание сосулек</t>
  </si>
  <si>
    <t>Замена разбитых стекол окон и дверей в помещениях общего пользования</t>
  </si>
  <si>
    <t>V. Проведение технических осмотров и мелкий ремонт</t>
  </si>
  <si>
    <t>VI. Устранение аварии и выполнение заявок населения</t>
  </si>
  <si>
    <t>VII. Прочие услуги</t>
  </si>
  <si>
    <t>Осуществление сохранности и поддержка в исправном состоянии абонентских почтовых шкафов и почтовых абонентских ящиков</t>
  </si>
  <si>
    <t xml:space="preserve">Постоянно </t>
  </si>
  <si>
    <t>Дератизация, дезинсекция</t>
  </si>
  <si>
    <t>40 кв.м</t>
  </si>
  <si>
    <t>3 раза в неделю дополнительно</t>
  </si>
  <si>
    <t>2 раза в год дополнительно</t>
  </si>
  <si>
    <t xml:space="preserve">3. </t>
  </si>
  <si>
    <t>Очистка и текущий ремонт детских и спортивных площадок, элементов благоустройства</t>
  </si>
  <si>
    <t xml:space="preserve">1 раз в год </t>
  </si>
  <si>
    <t xml:space="preserve">4. </t>
  </si>
  <si>
    <t>5 раз в неделю дополнительно</t>
  </si>
  <si>
    <t>III. Услуги вывоза бытовых отходов</t>
  </si>
  <si>
    <t>IV. Подготовка муниципального жилого дома к сезонной эксплуатации</t>
  </si>
  <si>
    <t>Ремонт внутридомовых сетей ХВС</t>
  </si>
  <si>
    <t>Ремонт внутридомовых сетей ГВС</t>
  </si>
  <si>
    <t>50 п.м</t>
  </si>
  <si>
    <t>ул. Гвардейская, д. 24б</t>
  </si>
  <si>
    <t>55 п.м</t>
  </si>
  <si>
    <t>50 кв.м</t>
  </si>
  <si>
    <t>ул. Олимпийская, д. 5</t>
  </si>
  <si>
    <t>Устранение протечек кровли, в т.ч. ремонт</t>
  </si>
  <si>
    <t>12 кв.м</t>
  </si>
  <si>
    <t>30 п.м</t>
  </si>
  <si>
    <t>30 кв.м</t>
  </si>
  <si>
    <t>25 п.м</t>
  </si>
  <si>
    <t>ул. Олимпийская, д. 7</t>
  </si>
  <si>
    <t>11 кв.м</t>
  </si>
  <si>
    <t>29 п.м</t>
  </si>
  <si>
    <t>ул. им. Космодемьянской З.А., д. 22</t>
  </si>
  <si>
    <t>Ремонт внутридомовых сетей канализации d 100 мм</t>
  </si>
  <si>
    <t>20 п.м</t>
  </si>
  <si>
    <t>40 п.м</t>
  </si>
  <si>
    <t>38 п.м</t>
  </si>
  <si>
    <t>ул. им. Космодемьянской З.А., д. 26</t>
  </si>
  <si>
    <t>39 п.м</t>
  </si>
  <si>
    <t>ул. им. Чайковского П.И., д. 4</t>
  </si>
  <si>
    <t>15 кв.м</t>
  </si>
  <si>
    <t>ул. Производственная, д. 44б</t>
  </si>
  <si>
    <t>9 кв.м</t>
  </si>
  <si>
    <t>2-й Транспортный пр-д, д. 10</t>
  </si>
  <si>
    <t>4,5 кв.м</t>
  </si>
  <si>
    <t>2-й Транспортный пр-д, д. 14</t>
  </si>
  <si>
    <t>Лот № 14</t>
  </si>
  <si>
    <t>ул. Малая Елшанская, д. 24</t>
  </si>
  <si>
    <t>ул. Малая Елшанская, д. 28</t>
  </si>
  <si>
    <t>Московское шоссе, д. 45</t>
  </si>
  <si>
    <t>Лот № 11</t>
  </si>
  <si>
    <t>ул. Операторская, д. 8</t>
  </si>
  <si>
    <t>ул. Лагерная, д. 20</t>
  </si>
  <si>
    <t>ул. 2-я Нефтегорская, д. 46</t>
  </si>
  <si>
    <t>Таганрогский пер., д. 6</t>
  </si>
  <si>
    <t>ул. Новоавтобусная, д. 12</t>
  </si>
  <si>
    <t>ул. им. Чкалова В.П., д. 27</t>
  </si>
  <si>
    <t>Постоянно на системах водоснабжения,  энергоснабжения, газоснабжения</t>
  </si>
  <si>
    <t>ул. им. Лебедева-Кумача В.И., д. 15</t>
  </si>
  <si>
    <t>2,5 кв.м</t>
  </si>
  <si>
    <t>ул. 10-я Дачная, 630</t>
  </si>
  <si>
    <t>4 кв.м</t>
  </si>
  <si>
    <t>Размер платы за содержание и ремонт жилого помещения в год по лоту № 5 руб.</t>
  </si>
  <si>
    <t>пос. Латухино, 1 кв-л, д. 7</t>
  </si>
  <si>
    <t>Размер платы за содержание и ремонт жилого помещения в год по лоту № 4 руб.</t>
  </si>
  <si>
    <t>пос. Латухино, 1 кв-л, д. 8</t>
  </si>
  <si>
    <t>пос. Латухино, 1 кв-л, д. 10</t>
  </si>
  <si>
    <t>пос. Латухино, 1 кв-л, д. 11</t>
  </si>
  <si>
    <t>пос. Латухино, 1 кв-л, д. 14</t>
  </si>
  <si>
    <t>пос. Латухино, 2 кв-л, д. 88</t>
  </si>
  <si>
    <t>пос. Латухино, 2 кв-л, д. 85</t>
  </si>
  <si>
    <t>пос. Латухино, 2 кв-л, д. 84</t>
  </si>
  <si>
    <t>пос. Латухино, 4 кв-л, д.94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</si>
</sst>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"/>
    <numFmt numFmtId="183" formatCode="#,##0.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#,##0.000000000"/>
    <numFmt numFmtId="195" formatCode="#,##0.0000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0000"/>
    <numFmt numFmtId="201" formatCode="0.0000000000"/>
    <numFmt numFmtId="202" formatCode="0.00000000000"/>
    <numFmt numFmtId="203" formatCode="0.000000000000"/>
    <numFmt numFmtId="204" formatCode="0.0000000000000"/>
    <numFmt numFmtId="205" formatCode="0.00000000000000"/>
    <numFmt numFmtId="206" formatCode="0.000000000000000"/>
    <numFmt numFmtId="207" formatCode="0.0000000000000000"/>
    <numFmt numFmtId="208" formatCode="0.00000000000000000"/>
    <numFmt numFmtId="209" formatCode="0.000000000000000000"/>
    <numFmt numFmtId="210" formatCode="#,##0.00000000000"/>
    <numFmt numFmtId="211" formatCode="#,##0.000000000000"/>
    <numFmt numFmtId="212" formatCode="#,##0.0000000000000"/>
    <numFmt numFmtId="213" formatCode="#,##0.00000000000000"/>
  </numFmts>
  <fonts count="2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3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wrapText="1"/>
    </xf>
    <xf numFmtId="4" fontId="2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vertical="top" wrapText="1"/>
    </xf>
    <xf numFmtId="1" fontId="4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3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6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81" fontId="1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1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center"/>
    </xf>
    <xf numFmtId="0" fontId="2" fillId="0" borderId="0" xfId="52" applyFont="1" applyAlignment="1">
      <alignment wrapText="1"/>
      <protection/>
    </xf>
    <xf numFmtId="0" fontId="2" fillId="0" borderId="0" xfId="52" applyFont="1">
      <alignment/>
      <protection/>
    </xf>
    <xf numFmtId="0" fontId="2" fillId="0" borderId="10" xfId="52" applyFont="1" applyBorder="1" applyAlignment="1">
      <alignment wrapText="1"/>
      <protection/>
    </xf>
    <xf numFmtId="4" fontId="1" fillId="0" borderId="10" xfId="52" applyNumberFormat="1" applyFont="1" applyBorder="1" applyAlignment="1">
      <alignment horizontal="right" vertical="center"/>
      <protection/>
    </xf>
    <xf numFmtId="0" fontId="2" fillId="0" borderId="10" xfId="52" applyFont="1" applyBorder="1" applyAlignment="1">
      <alignment horizontal="center" vertical="top" wrapText="1"/>
      <protection/>
    </xf>
    <xf numFmtId="0" fontId="2" fillId="0" borderId="10" xfId="52" applyFont="1" applyBorder="1" applyAlignment="1">
      <alignment horizontal="left" vertical="top" wrapText="1"/>
      <protection/>
    </xf>
    <xf numFmtId="0" fontId="2" fillId="0" borderId="10" xfId="52" applyFont="1" applyBorder="1" applyAlignment="1">
      <alignment vertical="top" wrapText="1"/>
      <protection/>
    </xf>
    <xf numFmtId="4" fontId="2" fillId="0" borderId="10" xfId="52" applyNumberFormat="1" applyFont="1" applyBorder="1" applyAlignment="1">
      <alignment horizontal="right" vertical="center" wrapText="1"/>
      <protection/>
    </xf>
    <xf numFmtId="4" fontId="2" fillId="0" borderId="10" xfId="52" applyNumberFormat="1" applyFont="1" applyBorder="1" applyAlignment="1">
      <alignment horizontal="right" vertical="center"/>
      <protection/>
    </xf>
    <xf numFmtId="4" fontId="1" fillId="0" borderId="10" xfId="52" applyNumberFormat="1" applyFont="1" applyBorder="1" applyAlignment="1">
      <alignment horizontal="right" vertical="center" wrapText="1"/>
      <protection/>
    </xf>
    <xf numFmtId="180" fontId="3" fillId="0" borderId="0" xfId="52" applyNumberFormat="1" applyFont="1" applyAlignment="1">
      <alignment wrapText="1"/>
      <protection/>
    </xf>
    <xf numFmtId="0" fontId="3" fillId="0" borderId="0" xfId="52" applyFont="1" applyAlignment="1">
      <alignment wrapText="1"/>
      <protection/>
    </xf>
    <xf numFmtId="0" fontId="3" fillId="0" borderId="0" xfId="52" applyFont="1">
      <alignment/>
      <protection/>
    </xf>
    <xf numFmtId="4" fontId="2" fillId="0" borderId="10" xfId="52" applyNumberFormat="1" applyFont="1" applyFill="1" applyBorder="1" applyAlignment="1">
      <alignment horizontal="right" vertical="center"/>
      <protection/>
    </xf>
    <xf numFmtId="4" fontId="1" fillId="0" borderId="10" xfId="52" applyNumberFormat="1" applyFont="1" applyFill="1" applyBorder="1" applyAlignment="1">
      <alignment vertical="center"/>
      <protection/>
    </xf>
    <xf numFmtId="0" fontId="6" fillId="0" borderId="10" xfId="52" applyFont="1" applyBorder="1" applyAlignment="1">
      <alignment vertical="top" wrapText="1"/>
      <protection/>
    </xf>
    <xf numFmtId="4" fontId="6" fillId="0" borderId="10" xfId="52" applyNumberFormat="1" applyFont="1" applyBorder="1" applyAlignment="1">
      <alignment horizontal="right" vertical="center" wrapText="1"/>
      <protection/>
    </xf>
    <xf numFmtId="0" fontId="6" fillId="0" borderId="10" xfId="52" applyFont="1" applyBorder="1" applyAlignment="1">
      <alignment horizontal="left" vertical="top" wrapText="1"/>
      <protection/>
    </xf>
    <xf numFmtId="0" fontId="2" fillId="0" borderId="10" xfId="52" applyFont="1" applyBorder="1" applyAlignment="1">
      <alignment vertical="top"/>
      <protection/>
    </xf>
    <xf numFmtId="2" fontId="2" fillId="0" borderId="10" xfId="0" applyNumberFormat="1" applyFont="1" applyBorder="1" applyAlignment="1">
      <alignment horizontal="right" vertical="center" wrapText="1"/>
    </xf>
    <xf numFmtId="180" fontId="2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vertical="center"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" fillId="0" borderId="10" xfId="52" applyFont="1" applyBorder="1" applyAlignment="1">
      <alignment horizontal="center" wrapText="1"/>
      <protection/>
    </xf>
    <xf numFmtId="0" fontId="2" fillId="0" borderId="10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счет обязат и доп с конкурса муниц занов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H6" sqref="H6"/>
    </sheetView>
  </sheetViews>
  <sheetFormatPr defaultColWidth="9.140625" defaultRowHeight="12.75"/>
  <cols>
    <col min="1" max="1" width="3.421875" style="3" customWidth="1"/>
    <col min="2" max="2" width="40.421875" style="3" customWidth="1"/>
    <col min="3" max="3" width="17.421875" style="3" customWidth="1"/>
    <col min="4" max="4" width="11.28125" style="3" customWidth="1"/>
    <col min="5" max="5" width="12.57421875" style="3" customWidth="1"/>
    <col min="6" max="6" width="8.57421875" style="3" customWidth="1"/>
    <col min="7" max="16384" width="9.140625" style="3" customWidth="1"/>
  </cols>
  <sheetData>
    <row r="1" ht="15">
      <c r="B1" s="56" t="s">
        <v>51</v>
      </c>
    </row>
    <row r="2" spans="1:6" ht="24" customHeight="1">
      <c r="A2" s="2"/>
      <c r="B2" s="1" t="s">
        <v>197</v>
      </c>
      <c r="C2" s="4"/>
      <c r="D2" s="50">
        <v>52.7</v>
      </c>
      <c r="E2" s="5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40.5" customHeight="1">
      <c r="A4" s="88" t="s">
        <v>104</v>
      </c>
      <c r="B4" s="88"/>
      <c r="C4" s="88"/>
      <c r="D4" s="88"/>
      <c r="E4" s="88"/>
      <c r="F4" s="2"/>
    </row>
    <row r="5" spans="1:6" ht="15">
      <c r="A5" s="1"/>
      <c r="B5" s="1"/>
      <c r="C5" s="1"/>
      <c r="D5" s="1"/>
      <c r="E5" s="1"/>
      <c r="F5" s="2"/>
    </row>
    <row r="6" spans="1:6" ht="85.5">
      <c r="A6" s="7"/>
      <c r="B6" s="8" t="s">
        <v>1</v>
      </c>
      <c r="C6" s="8" t="s">
        <v>2</v>
      </c>
      <c r="D6" s="8" t="s">
        <v>3</v>
      </c>
      <c r="E6" s="8" t="s">
        <v>4</v>
      </c>
      <c r="F6" s="2"/>
    </row>
    <row r="7" spans="1:7" ht="15">
      <c r="A7" s="90" t="s">
        <v>37</v>
      </c>
      <c r="B7" s="91"/>
      <c r="C7" s="92"/>
      <c r="D7" s="17">
        <f>SUM(D8:D9)</f>
        <v>538.2849753866266</v>
      </c>
      <c r="E7" s="17">
        <f>SUM(E8:E9)</f>
        <v>0.8511780129453298</v>
      </c>
      <c r="F7" s="20"/>
      <c r="G7" s="19"/>
    </row>
    <row r="8" spans="1:7" ht="15.75" customHeight="1">
      <c r="A8" s="12">
        <v>1</v>
      </c>
      <c r="B8" s="7" t="s">
        <v>11</v>
      </c>
      <c r="C8" s="14" t="s">
        <v>12</v>
      </c>
      <c r="D8" s="15">
        <f>E8*$D$2*12</f>
        <v>492.4839665019456</v>
      </c>
      <c r="E8" s="55">
        <v>0.7787539002244555</v>
      </c>
      <c r="F8" s="18"/>
      <c r="G8" s="19"/>
    </row>
    <row r="9" spans="1:7" ht="30">
      <c r="A9" s="12">
        <v>2</v>
      </c>
      <c r="B9" s="13" t="s">
        <v>13</v>
      </c>
      <c r="C9" s="13" t="s">
        <v>14</v>
      </c>
      <c r="D9" s="15">
        <f>E9*$D$2*12</f>
        <v>45.80100888468095</v>
      </c>
      <c r="E9" s="55">
        <v>0.07242411272087436</v>
      </c>
      <c r="F9" s="18"/>
      <c r="G9" s="19"/>
    </row>
    <row r="10" spans="1:7" ht="29.25" customHeight="1">
      <c r="A10" s="90" t="s">
        <v>103</v>
      </c>
      <c r="B10" s="93"/>
      <c r="C10" s="94"/>
      <c r="D10" s="22">
        <f>SUM(D11:D11)</f>
        <v>17.493366012269497</v>
      </c>
      <c r="E10" s="22">
        <f>SUM(E11:E11)</f>
        <v>0.02766186908961021</v>
      </c>
      <c r="F10" s="18"/>
      <c r="G10" s="19"/>
    </row>
    <row r="11" spans="1:6" ht="75" customHeight="1">
      <c r="A11" s="12">
        <v>3</v>
      </c>
      <c r="B11" s="13" t="s">
        <v>38</v>
      </c>
      <c r="C11" s="13" t="s">
        <v>7</v>
      </c>
      <c r="D11" s="15">
        <f>E11*12*$D$2</f>
        <v>17.493366012269497</v>
      </c>
      <c r="E11" s="78">
        <v>0.02766186908961021</v>
      </c>
      <c r="F11" s="2"/>
    </row>
    <row r="12" spans="1:9" ht="15">
      <c r="A12" s="95" t="s">
        <v>39</v>
      </c>
      <c r="B12" s="96"/>
      <c r="C12" s="96"/>
      <c r="D12" s="11">
        <f>SUM(D13:D14)</f>
        <v>748.9240712367246</v>
      </c>
      <c r="E12" s="11">
        <f>SUM(E13:E14)</f>
        <v>1.1842569121390332</v>
      </c>
      <c r="F12" s="2"/>
      <c r="G12" s="51"/>
      <c r="H12" s="51"/>
      <c r="I12" s="52"/>
    </row>
    <row r="13" spans="1:9" ht="75">
      <c r="A13" s="12">
        <v>4</v>
      </c>
      <c r="B13" s="13" t="s">
        <v>43</v>
      </c>
      <c r="C13" s="13" t="s">
        <v>7</v>
      </c>
      <c r="D13" s="15">
        <f>E13*12*$D$2</f>
        <v>103.69944857544077</v>
      </c>
      <c r="E13" s="15">
        <v>0.1639776226683124</v>
      </c>
      <c r="F13" s="2"/>
      <c r="G13" s="51"/>
      <c r="H13" s="51"/>
      <c r="I13" s="52"/>
    </row>
    <row r="14" spans="1:9" ht="75">
      <c r="A14" s="12">
        <v>5</v>
      </c>
      <c r="B14" s="13" t="s">
        <v>19</v>
      </c>
      <c r="C14" s="13" t="s">
        <v>198</v>
      </c>
      <c r="D14" s="15">
        <f>E14*12*$D$2</f>
        <v>645.2246226612838</v>
      </c>
      <c r="E14" s="21">
        <v>1.0202792894707207</v>
      </c>
      <c r="F14" s="2"/>
      <c r="G14" s="51"/>
      <c r="H14" s="51"/>
      <c r="I14" s="52"/>
    </row>
    <row r="15" spans="1:9" ht="15">
      <c r="A15" s="95" t="s">
        <v>41</v>
      </c>
      <c r="B15" s="95"/>
      <c r="C15" s="95"/>
      <c r="D15" s="23">
        <f>SUM(D16)</f>
        <v>89.55263948520219</v>
      </c>
      <c r="E15" s="22">
        <f>SUM(E16)</f>
        <v>0.14160758931878903</v>
      </c>
      <c r="F15" s="2"/>
      <c r="G15" s="54"/>
      <c r="H15" s="54"/>
      <c r="I15" s="54"/>
    </row>
    <row r="16" spans="1:6" ht="15">
      <c r="A16" s="12">
        <v>6</v>
      </c>
      <c r="B16" s="13" t="s">
        <v>21</v>
      </c>
      <c r="C16" s="13" t="s">
        <v>22</v>
      </c>
      <c r="D16" s="15">
        <f>E16*12*$D$2</f>
        <v>89.55263948520219</v>
      </c>
      <c r="E16" s="53">
        <v>0.14160758931878903</v>
      </c>
      <c r="F16" s="2"/>
    </row>
    <row r="17" spans="1:6" ht="15">
      <c r="A17" s="8"/>
      <c r="B17" s="24" t="s">
        <v>24</v>
      </c>
      <c r="C17" s="24"/>
      <c r="D17" s="25">
        <f>D7+D10+D12+D15</f>
        <v>1394.2550521208227</v>
      </c>
      <c r="E17" s="17">
        <f>E7+E10+E12+E15</f>
        <v>2.204704383492762</v>
      </c>
      <c r="F17" s="5"/>
    </row>
    <row r="18" spans="1:6" ht="15">
      <c r="A18" s="26"/>
      <c r="B18" s="27"/>
      <c r="C18" s="28"/>
      <c r="D18" s="29"/>
      <c r="E18" s="30"/>
      <c r="F18" s="2"/>
    </row>
    <row r="19" spans="1:6" ht="105">
      <c r="A19" s="10" t="s">
        <v>25</v>
      </c>
      <c r="B19" s="10" t="s">
        <v>26</v>
      </c>
      <c r="C19" s="10" t="s">
        <v>27</v>
      </c>
      <c r="D19" s="10" t="s">
        <v>28</v>
      </c>
      <c r="E19" s="10" t="s">
        <v>29</v>
      </c>
      <c r="F19" s="10" t="s">
        <v>30</v>
      </c>
    </row>
    <row r="20" spans="1:6" ht="15">
      <c r="A20" s="10">
        <v>1</v>
      </c>
      <c r="B20" s="7" t="s">
        <v>110</v>
      </c>
      <c r="C20" s="10" t="s">
        <v>46</v>
      </c>
      <c r="D20" s="10">
        <v>1006</v>
      </c>
      <c r="E20" s="33">
        <f>D20/12/$D$2</f>
        <v>1.5907653383934217</v>
      </c>
      <c r="F20" s="34">
        <v>2</v>
      </c>
    </row>
    <row r="21" spans="1:6" ht="15">
      <c r="A21" s="10"/>
      <c r="B21" s="36" t="s">
        <v>31</v>
      </c>
      <c r="C21" s="9"/>
      <c r="D21" s="37">
        <f>SUM(D20:D20)</f>
        <v>1006</v>
      </c>
      <c r="E21" s="38">
        <f>SUM(E20:E20)</f>
        <v>1.5907653383934217</v>
      </c>
      <c r="F21" s="39"/>
    </row>
    <row r="22" spans="1:6" ht="15">
      <c r="A22" s="26"/>
      <c r="B22" s="27"/>
      <c r="C22" s="40"/>
      <c r="D22" s="40"/>
      <c r="E22" s="40"/>
      <c r="F22" s="40"/>
    </row>
    <row r="23" spans="1:6" ht="29.25">
      <c r="A23" s="26"/>
      <c r="B23" s="27" t="s">
        <v>32</v>
      </c>
      <c r="C23" s="41">
        <f>D17+D21</f>
        <v>2400.2550521208227</v>
      </c>
      <c r="D23" s="41"/>
      <c r="E23" s="41"/>
      <c r="F23" s="40"/>
    </row>
    <row r="24" spans="1:6" ht="15">
      <c r="A24" s="26"/>
      <c r="B24" s="27" t="s">
        <v>33</v>
      </c>
      <c r="C24" s="42">
        <f>E17+E21</f>
        <v>3.7954697218861835</v>
      </c>
      <c r="D24" s="40"/>
      <c r="E24" s="40"/>
      <c r="F24" s="40"/>
    </row>
    <row r="25" spans="1:6" ht="15">
      <c r="A25" s="26"/>
      <c r="B25" s="27"/>
      <c r="C25" s="42"/>
      <c r="D25" s="40"/>
      <c r="E25" s="40"/>
      <c r="F25" s="40"/>
    </row>
    <row r="26" spans="1:6" ht="33" customHeight="1">
      <c r="A26" s="88" t="s">
        <v>105</v>
      </c>
      <c r="B26" s="88"/>
      <c r="C26" s="88"/>
      <c r="D26" s="88"/>
      <c r="E26" s="88"/>
      <c r="F26" s="88"/>
    </row>
    <row r="27" spans="1:6" ht="15">
      <c r="A27" s="1"/>
      <c r="B27" s="1"/>
      <c r="C27" s="1"/>
      <c r="D27" s="2"/>
      <c r="E27" s="2"/>
      <c r="F27" s="2"/>
    </row>
    <row r="28" spans="1:6" ht="85.5">
      <c r="A28" s="7"/>
      <c r="B28" s="8" t="s">
        <v>1</v>
      </c>
      <c r="C28" s="8" t="s">
        <v>2</v>
      </c>
      <c r="D28" s="8" t="s">
        <v>3</v>
      </c>
      <c r="E28" s="8" t="s">
        <v>4</v>
      </c>
      <c r="F28" s="2"/>
    </row>
    <row r="29" spans="1:5" ht="30" customHeight="1">
      <c r="A29" s="89" t="s">
        <v>123</v>
      </c>
      <c r="B29" s="89"/>
      <c r="C29" s="89"/>
      <c r="D29" s="17">
        <f>D30</f>
        <v>6.324</v>
      </c>
      <c r="E29" s="17">
        <f>E30</f>
        <v>0.01</v>
      </c>
    </row>
    <row r="30" spans="1:5" ht="30">
      <c r="A30" s="12" t="s">
        <v>5</v>
      </c>
      <c r="B30" s="43" t="s">
        <v>35</v>
      </c>
      <c r="C30" s="43" t="s">
        <v>42</v>
      </c>
      <c r="D30" s="15">
        <f>E30*12*$D$2</f>
        <v>6.324</v>
      </c>
      <c r="E30" s="44">
        <v>0.01</v>
      </c>
    </row>
    <row r="31" spans="1:5" ht="30" customHeight="1">
      <c r="A31" s="89" t="s">
        <v>102</v>
      </c>
      <c r="B31" s="89"/>
      <c r="C31" s="89"/>
      <c r="D31" s="17">
        <f>D32</f>
        <v>37.944</v>
      </c>
      <c r="E31" s="17">
        <f>E32</f>
        <v>0.06</v>
      </c>
    </row>
    <row r="32" spans="1:5" ht="15">
      <c r="A32" s="12" t="s">
        <v>34</v>
      </c>
      <c r="B32" s="45" t="s">
        <v>9</v>
      </c>
      <c r="C32" s="7" t="s">
        <v>42</v>
      </c>
      <c r="D32" s="15">
        <f>E32*$D$2*12</f>
        <v>37.944</v>
      </c>
      <c r="E32" s="16">
        <v>0.06</v>
      </c>
    </row>
    <row r="33" spans="1:6" ht="15">
      <c r="A33" s="8"/>
      <c r="B33" s="24" t="s">
        <v>24</v>
      </c>
      <c r="C33" s="24"/>
      <c r="D33" s="25">
        <f>D29+D31</f>
        <v>44.268</v>
      </c>
      <c r="E33" s="17">
        <f>E29+E31</f>
        <v>0.06999999999999999</v>
      </c>
      <c r="F33" s="5"/>
    </row>
    <row r="34" spans="1:6" ht="15">
      <c r="A34" s="2"/>
      <c r="B34" s="2"/>
      <c r="C34" s="2"/>
      <c r="D34" s="2"/>
      <c r="E34" s="2"/>
      <c r="F34" s="2"/>
    </row>
    <row r="35" spans="1:6" ht="15">
      <c r="A35" s="31"/>
      <c r="B35" s="31"/>
      <c r="C35" s="31"/>
      <c r="D35" s="31"/>
      <c r="E35" s="31"/>
      <c r="F35" s="32"/>
    </row>
    <row r="36" spans="1:6" ht="105">
      <c r="A36" s="10" t="s">
        <v>25</v>
      </c>
      <c r="B36" s="10" t="s">
        <v>26</v>
      </c>
      <c r="C36" s="10" t="s">
        <v>27</v>
      </c>
      <c r="D36" s="10" t="s">
        <v>28</v>
      </c>
      <c r="E36" s="10" t="s">
        <v>36</v>
      </c>
      <c r="F36" s="10" t="s">
        <v>30</v>
      </c>
    </row>
    <row r="37" spans="1:6" ht="15">
      <c r="A37" s="10">
        <v>1</v>
      </c>
      <c r="B37" s="7" t="s">
        <v>110</v>
      </c>
      <c r="C37" s="10" t="s">
        <v>46</v>
      </c>
      <c r="D37" s="10">
        <v>1006</v>
      </c>
      <c r="E37" s="46">
        <f>D37/12/$D$2</f>
        <v>1.5907653383934217</v>
      </c>
      <c r="F37" s="10">
        <v>2</v>
      </c>
    </row>
    <row r="38" spans="1:6" ht="15">
      <c r="A38" s="47"/>
      <c r="B38" s="47" t="s">
        <v>31</v>
      </c>
      <c r="C38" s="47"/>
      <c r="D38" s="48">
        <f>SUM(D37:D37)</f>
        <v>1006</v>
      </c>
      <c r="E38" s="49">
        <f>SUM(E37:E37)</f>
        <v>1.5907653383934217</v>
      </c>
      <c r="F38" s="47"/>
    </row>
    <row r="42" spans="2:3" ht="43.5">
      <c r="B42" s="27" t="s">
        <v>77</v>
      </c>
      <c r="C42" s="58">
        <f>C23</f>
        <v>2400.2550521208227</v>
      </c>
    </row>
  </sheetData>
  <mergeCells count="8">
    <mergeCell ref="A26:F26"/>
    <mergeCell ref="A29:C29"/>
    <mergeCell ref="A31:C31"/>
    <mergeCell ref="A4:E4"/>
    <mergeCell ref="A7:C7"/>
    <mergeCell ref="A10:C10"/>
    <mergeCell ref="A12:C12"/>
    <mergeCell ref="A15:C15"/>
  </mergeCells>
  <printOptions/>
  <pageMargins left="0.7874015748031497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4">
      <selection activeCell="J6" sqref="J6"/>
    </sheetView>
  </sheetViews>
  <sheetFormatPr defaultColWidth="9.140625" defaultRowHeight="12.75"/>
  <cols>
    <col min="1" max="1" width="3.421875" style="3" customWidth="1"/>
    <col min="2" max="2" width="40.8515625" style="3" customWidth="1"/>
    <col min="3" max="3" width="17.421875" style="3" customWidth="1"/>
    <col min="4" max="4" width="11.28125" style="3" customWidth="1"/>
    <col min="5" max="5" width="11.8515625" style="3" customWidth="1"/>
    <col min="6" max="6" width="8.57421875" style="3" customWidth="1"/>
    <col min="7" max="16384" width="9.140625" style="3" customWidth="1"/>
  </cols>
  <sheetData>
    <row r="1" ht="15">
      <c r="B1" s="56" t="s">
        <v>59</v>
      </c>
    </row>
    <row r="2" spans="1:6" ht="24" customHeight="1">
      <c r="A2" s="2"/>
      <c r="B2" s="1" t="s">
        <v>193</v>
      </c>
      <c r="C2" s="4"/>
      <c r="D2" s="50">
        <v>99.6</v>
      </c>
      <c r="E2" s="5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40.5" customHeight="1">
      <c r="A4" s="88" t="s">
        <v>109</v>
      </c>
      <c r="B4" s="88"/>
      <c r="C4" s="88"/>
      <c r="D4" s="88"/>
      <c r="E4" s="88"/>
      <c r="F4" s="2"/>
    </row>
    <row r="5" spans="1:6" ht="15">
      <c r="A5" s="1"/>
      <c r="B5" s="1"/>
      <c r="C5" s="1"/>
      <c r="D5" s="1"/>
      <c r="E5" s="1"/>
      <c r="F5" s="2"/>
    </row>
    <row r="6" spans="1:6" ht="85.5">
      <c r="A6" s="7"/>
      <c r="B6" s="8" t="s">
        <v>1</v>
      </c>
      <c r="C6" s="8" t="s">
        <v>2</v>
      </c>
      <c r="D6" s="8" t="s">
        <v>3</v>
      </c>
      <c r="E6" s="8" t="s">
        <v>4</v>
      </c>
      <c r="F6" s="2"/>
    </row>
    <row r="7" spans="1:7" ht="15">
      <c r="A7" s="90" t="s">
        <v>37</v>
      </c>
      <c r="B7" s="91"/>
      <c r="C7" s="92"/>
      <c r="D7" s="17">
        <f>SUM(D8:D9)</f>
        <v>807.4274630799399</v>
      </c>
      <c r="E7" s="17">
        <f>SUM(E8:E9)</f>
        <v>0.6755584530454652</v>
      </c>
      <c r="F7" s="20"/>
      <c r="G7" s="19"/>
    </row>
    <row r="8" spans="1:7" ht="15.75" customHeight="1">
      <c r="A8" s="12">
        <v>1</v>
      </c>
      <c r="B8" s="7" t="s">
        <v>11</v>
      </c>
      <c r="C8" s="14" t="s">
        <v>12</v>
      </c>
      <c r="D8" s="15">
        <f>E8*$D$2*12</f>
        <v>738.7259497529185</v>
      </c>
      <c r="E8" s="21">
        <v>0.618077267196217</v>
      </c>
      <c r="F8" s="18"/>
      <c r="G8" s="19"/>
    </row>
    <row r="9" spans="1:7" ht="30">
      <c r="A9" s="12">
        <v>2</v>
      </c>
      <c r="B9" s="13" t="s">
        <v>13</v>
      </c>
      <c r="C9" s="13" t="s">
        <v>14</v>
      </c>
      <c r="D9" s="15">
        <f>E9*$D$2*12</f>
        <v>68.70151332702144</v>
      </c>
      <c r="E9" s="21">
        <v>0.0574811858492482</v>
      </c>
      <c r="F9" s="18"/>
      <c r="G9" s="19"/>
    </row>
    <row r="10" spans="1:7" ht="29.25" customHeight="1">
      <c r="A10" s="90" t="s">
        <v>103</v>
      </c>
      <c r="B10" s="93"/>
      <c r="C10" s="94"/>
      <c r="D10" s="22">
        <f>SUM(D11:D11)</f>
        <v>17.493366012269533</v>
      </c>
      <c r="E10" s="22">
        <f>SUM(E11:E11)</f>
        <v>0.0146363504118721</v>
      </c>
      <c r="F10" s="18"/>
      <c r="G10" s="19"/>
    </row>
    <row r="11" spans="1:6" ht="75" customHeight="1">
      <c r="A11" s="12">
        <v>3</v>
      </c>
      <c r="B11" s="13" t="s">
        <v>38</v>
      </c>
      <c r="C11" s="13" t="s">
        <v>7</v>
      </c>
      <c r="D11" s="15">
        <f>E11*12*$D$2</f>
        <v>17.493366012269533</v>
      </c>
      <c r="E11" s="15">
        <v>0.0146363504118721</v>
      </c>
      <c r="F11" s="2"/>
    </row>
    <row r="12" spans="1:9" ht="15">
      <c r="A12" s="95" t="s">
        <v>39</v>
      </c>
      <c r="B12" s="96"/>
      <c r="C12" s="96"/>
      <c r="D12" s="11">
        <f>SUM(D13:D14)</f>
        <v>1435.612001578676</v>
      </c>
      <c r="E12" s="11">
        <f>SUM(E13:E14)</f>
        <v>1.2011479263543139</v>
      </c>
      <c r="F12" s="2"/>
      <c r="G12" s="51"/>
      <c r="H12" s="51"/>
      <c r="I12" s="52"/>
    </row>
    <row r="13" spans="1:9" ht="61.5" customHeight="1">
      <c r="A13" s="12">
        <v>4</v>
      </c>
      <c r="B13" s="13" t="s">
        <v>43</v>
      </c>
      <c r="C13" s="13" t="s">
        <v>7</v>
      </c>
      <c r="D13" s="15">
        <f>E13*12*$D$2</f>
        <v>216.1741948032702</v>
      </c>
      <c r="E13" s="15">
        <f>0.0836268703481988+0.0972417665353941</f>
        <v>0.1808686368835929</v>
      </c>
      <c r="F13" s="2"/>
      <c r="G13" s="51"/>
      <c r="H13" s="51"/>
      <c r="I13" s="52"/>
    </row>
    <row r="14" spans="1:9" ht="75">
      <c r="A14" s="12">
        <v>5</v>
      </c>
      <c r="B14" s="13" t="s">
        <v>19</v>
      </c>
      <c r="C14" s="13" t="s">
        <v>40</v>
      </c>
      <c r="D14" s="15">
        <f>E14*12*$D$2</f>
        <v>1219.4378067754058</v>
      </c>
      <c r="E14" s="21">
        <f>0.907756174870721+0.1125231146</f>
        <v>1.020279289470721</v>
      </c>
      <c r="F14" s="2"/>
      <c r="G14" s="54"/>
      <c r="H14" s="54"/>
      <c r="I14" s="54"/>
    </row>
    <row r="15" spans="1:9" ht="15">
      <c r="A15" s="95" t="s">
        <v>41</v>
      </c>
      <c r="B15" s="95"/>
      <c r="C15" s="95"/>
      <c r="D15" s="23">
        <f>SUM(D16)</f>
        <v>100.95529389572015</v>
      </c>
      <c r="E15" s="22">
        <f>SUM(E16)</f>
        <v>0.0844672807025771</v>
      </c>
      <c r="F15" s="2"/>
      <c r="G15" s="54"/>
      <c r="H15" s="54"/>
      <c r="I15" s="54"/>
    </row>
    <row r="16" spans="1:6" ht="15">
      <c r="A16" s="12">
        <v>6</v>
      </c>
      <c r="B16" s="13" t="s">
        <v>21</v>
      </c>
      <c r="C16" s="13" t="s">
        <v>22</v>
      </c>
      <c r="D16" s="15">
        <f>E16*12*$D$2</f>
        <v>100.95529389572015</v>
      </c>
      <c r="E16" s="21">
        <f>0.0233227023893241+0.061144578313253</f>
        <v>0.0844672807025771</v>
      </c>
      <c r="F16" s="2"/>
    </row>
    <row r="17" spans="1:6" ht="15">
      <c r="A17" s="8"/>
      <c r="B17" s="24" t="s">
        <v>24</v>
      </c>
      <c r="C17" s="24"/>
      <c r="D17" s="25">
        <f>D7+D10+D12+D15</f>
        <v>2361.488124566605</v>
      </c>
      <c r="E17" s="17">
        <f>E7+E10+E12+E15</f>
        <v>1.9758100105142282</v>
      </c>
      <c r="F17" s="5"/>
    </row>
    <row r="18" spans="1:6" ht="15">
      <c r="A18" s="26"/>
      <c r="B18" s="27"/>
      <c r="C18" s="28"/>
      <c r="D18" s="29"/>
      <c r="E18" s="30"/>
      <c r="F18" s="2"/>
    </row>
    <row r="19" spans="1:6" ht="105">
      <c r="A19" s="10" t="s">
        <v>25</v>
      </c>
      <c r="B19" s="10" t="s">
        <v>26</v>
      </c>
      <c r="C19" s="10" t="s">
        <v>27</v>
      </c>
      <c r="D19" s="10" t="s">
        <v>28</v>
      </c>
      <c r="E19" s="10" t="s">
        <v>29</v>
      </c>
      <c r="F19" s="10" t="s">
        <v>30</v>
      </c>
    </row>
    <row r="20" spans="1:6" ht="15">
      <c r="A20" s="10">
        <v>1</v>
      </c>
      <c r="B20" s="7" t="s">
        <v>110</v>
      </c>
      <c r="C20" s="10" t="s">
        <v>185</v>
      </c>
      <c r="D20" s="10">
        <v>2263.5</v>
      </c>
      <c r="E20" s="33">
        <f>D20/12/$D$2</f>
        <v>1.8938253012048194</v>
      </c>
      <c r="F20" s="34">
        <v>2</v>
      </c>
    </row>
    <row r="21" spans="1:6" ht="15">
      <c r="A21" s="10"/>
      <c r="B21" s="36" t="s">
        <v>31</v>
      </c>
      <c r="C21" s="9"/>
      <c r="D21" s="37">
        <f>SUM(D20:D20)</f>
        <v>2263.5</v>
      </c>
      <c r="E21" s="38">
        <f>SUM(E20:E20)</f>
        <v>1.8938253012048194</v>
      </c>
      <c r="F21" s="39"/>
    </row>
    <row r="22" spans="1:6" ht="15">
      <c r="A22" s="26"/>
      <c r="B22" s="27"/>
      <c r="C22" s="40"/>
      <c r="D22" s="40"/>
      <c r="E22" s="40"/>
      <c r="F22" s="40"/>
    </row>
    <row r="23" spans="1:6" ht="29.25">
      <c r="A23" s="26"/>
      <c r="B23" s="27" t="s">
        <v>32</v>
      </c>
      <c r="C23" s="41">
        <f>D17+D21</f>
        <v>4624.988124566606</v>
      </c>
      <c r="D23" s="41"/>
      <c r="E23" s="41"/>
      <c r="F23" s="40"/>
    </row>
    <row r="24" spans="1:6" ht="15">
      <c r="A24" s="26"/>
      <c r="B24" s="27" t="s">
        <v>33</v>
      </c>
      <c r="C24" s="42">
        <f>E17+E21</f>
        <v>3.8696353117190476</v>
      </c>
      <c r="D24" s="40"/>
      <c r="E24" s="40"/>
      <c r="F24" s="40"/>
    </row>
    <row r="25" spans="1:6" ht="3" customHeight="1">
      <c r="A25" s="26"/>
      <c r="B25" s="27"/>
      <c r="C25" s="42"/>
      <c r="D25" s="40"/>
      <c r="E25" s="40"/>
      <c r="F25" s="40"/>
    </row>
    <row r="26" spans="1:6" ht="30" customHeight="1">
      <c r="A26" s="88" t="s">
        <v>111</v>
      </c>
      <c r="B26" s="88"/>
      <c r="C26" s="88"/>
      <c r="D26" s="88"/>
      <c r="E26" s="88"/>
      <c r="F26" s="88"/>
    </row>
    <row r="27" spans="1:6" ht="6" customHeight="1">
      <c r="A27" s="1"/>
      <c r="B27" s="1"/>
      <c r="C27" s="1"/>
      <c r="D27" s="2"/>
      <c r="E27" s="2"/>
      <c r="F27" s="2"/>
    </row>
    <row r="28" spans="1:6" ht="85.5">
      <c r="A28" s="7"/>
      <c r="B28" s="8" t="s">
        <v>1</v>
      </c>
      <c r="C28" s="8" t="s">
        <v>2</v>
      </c>
      <c r="D28" s="8" t="s">
        <v>3</v>
      </c>
      <c r="E28" s="8" t="s">
        <v>4</v>
      </c>
      <c r="F28" s="2"/>
    </row>
    <row r="29" spans="1:5" ht="30" customHeight="1">
      <c r="A29" s="89" t="s">
        <v>123</v>
      </c>
      <c r="B29" s="89"/>
      <c r="C29" s="89"/>
      <c r="D29" s="17">
        <f>D30</f>
        <v>11.951999999999998</v>
      </c>
      <c r="E29" s="17">
        <f>E30</f>
        <v>0.01</v>
      </c>
    </row>
    <row r="30" spans="1:5" ht="30">
      <c r="A30" s="12" t="s">
        <v>5</v>
      </c>
      <c r="B30" s="43" t="s">
        <v>35</v>
      </c>
      <c r="C30" s="43" t="s">
        <v>42</v>
      </c>
      <c r="D30" s="15">
        <f>E30*12*$D$2</f>
        <v>11.951999999999998</v>
      </c>
      <c r="E30" s="44">
        <v>0.01</v>
      </c>
    </row>
    <row r="31" spans="1:5" ht="30" customHeight="1">
      <c r="A31" s="89" t="s">
        <v>102</v>
      </c>
      <c r="B31" s="89"/>
      <c r="C31" s="89"/>
      <c r="D31" s="17">
        <f>D32</f>
        <v>71.71199999999999</v>
      </c>
      <c r="E31" s="17">
        <f>E32</f>
        <v>0.06</v>
      </c>
    </row>
    <row r="32" spans="1:5" ht="15">
      <c r="A32" s="12" t="s">
        <v>34</v>
      </c>
      <c r="B32" s="45" t="s">
        <v>9</v>
      </c>
      <c r="C32" s="7" t="s">
        <v>42</v>
      </c>
      <c r="D32" s="15">
        <f>E32*$D$2*12</f>
        <v>71.71199999999999</v>
      </c>
      <c r="E32" s="16">
        <v>0.06</v>
      </c>
    </row>
    <row r="33" spans="1:6" ht="15">
      <c r="A33" s="8"/>
      <c r="B33" s="24" t="s">
        <v>24</v>
      </c>
      <c r="C33" s="24"/>
      <c r="D33" s="25">
        <f>D29+D31</f>
        <v>83.66399999999999</v>
      </c>
      <c r="E33" s="17">
        <f>E29+E31</f>
        <v>0.06999999999999999</v>
      </c>
      <c r="F33" s="5"/>
    </row>
    <row r="34" spans="1:6" ht="5.25" customHeight="1">
      <c r="A34" s="2"/>
      <c r="B34" s="2"/>
      <c r="C34" s="2"/>
      <c r="D34" s="2"/>
      <c r="E34" s="2"/>
      <c r="F34" s="2"/>
    </row>
    <row r="35" spans="1:6" ht="4.5" customHeight="1">
      <c r="A35" s="31"/>
      <c r="B35" s="31"/>
      <c r="C35" s="31"/>
      <c r="D35" s="31"/>
      <c r="E35" s="31"/>
      <c r="F35" s="32"/>
    </row>
    <row r="36" spans="1:6" ht="105">
      <c r="A36" s="10" t="s">
        <v>25</v>
      </c>
      <c r="B36" s="10" t="s">
        <v>26</v>
      </c>
      <c r="C36" s="10" t="s">
        <v>27</v>
      </c>
      <c r="D36" s="10" t="s">
        <v>28</v>
      </c>
      <c r="E36" s="10" t="s">
        <v>36</v>
      </c>
      <c r="F36" s="10" t="s">
        <v>30</v>
      </c>
    </row>
    <row r="37" spans="1:6" ht="15">
      <c r="A37" s="10">
        <v>1</v>
      </c>
      <c r="B37" s="7" t="s">
        <v>110</v>
      </c>
      <c r="C37" s="10" t="s">
        <v>185</v>
      </c>
      <c r="D37" s="10">
        <v>2263.5</v>
      </c>
      <c r="E37" s="46">
        <f>D37/12/$D$2</f>
        <v>1.8938253012048194</v>
      </c>
      <c r="F37" s="34">
        <v>2</v>
      </c>
    </row>
    <row r="38" spans="1:6" ht="15">
      <c r="A38" s="47"/>
      <c r="B38" s="47" t="s">
        <v>31</v>
      </c>
      <c r="C38" s="47"/>
      <c r="D38" s="48">
        <f>SUM(D37:D37)</f>
        <v>2263.5</v>
      </c>
      <c r="E38" s="49">
        <f>SUM(E37:E37)</f>
        <v>1.8938253012048194</v>
      </c>
      <c r="F38" s="47"/>
    </row>
    <row r="41" spans="2:3" ht="43.5">
      <c r="B41" s="27" t="s">
        <v>83</v>
      </c>
      <c r="C41" s="58">
        <f>C23</f>
        <v>4624.988124566606</v>
      </c>
    </row>
  </sheetData>
  <mergeCells count="8">
    <mergeCell ref="A31:C31"/>
    <mergeCell ref="A15:C15"/>
    <mergeCell ref="A26:F26"/>
    <mergeCell ref="A29:C29"/>
    <mergeCell ref="A4:E4"/>
    <mergeCell ref="A7:C7"/>
    <mergeCell ref="A10:C10"/>
    <mergeCell ref="A12:C12"/>
  </mergeCells>
  <printOptions/>
  <pageMargins left="0.7874015748031497" right="0.2362204724409449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0">
      <selection activeCell="B13" sqref="B13"/>
    </sheetView>
  </sheetViews>
  <sheetFormatPr defaultColWidth="9.140625" defaultRowHeight="12.75"/>
  <cols>
    <col min="1" max="1" width="3.421875" style="3" customWidth="1"/>
    <col min="2" max="2" width="40.8515625" style="3" customWidth="1"/>
    <col min="3" max="3" width="17.421875" style="3" customWidth="1"/>
    <col min="4" max="4" width="11.28125" style="3" customWidth="1"/>
    <col min="5" max="5" width="11.8515625" style="3" customWidth="1"/>
    <col min="6" max="6" width="8.57421875" style="3" customWidth="1"/>
    <col min="7" max="16384" width="9.140625" style="3" customWidth="1"/>
  </cols>
  <sheetData>
    <row r="1" ht="15">
      <c r="B1" s="56" t="s">
        <v>191</v>
      </c>
    </row>
    <row r="2" spans="1:6" ht="24" customHeight="1">
      <c r="A2" s="2"/>
      <c r="B2" s="1" t="s">
        <v>192</v>
      </c>
      <c r="C2" s="4"/>
      <c r="D2" s="50">
        <v>50.8</v>
      </c>
      <c r="E2" s="5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28.5" customHeight="1">
      <c r="A4" s="88" t="s">
        <v>109</v>
      </c>
      <c r="B4" s="88"/>
      <c r="C4" s="88"/>
      <c r="D4" s="88"/>
      <c r="E4" s="88"/>
      <c r="F4" s="2"/>
    </row>
    <row r="5" spans="1:6" ht="15">
      <c r="A5" s="1"/>
      <c r="B5" s="1"/>
      <c r="C5" s="1"/>
      <c r="D5" s="1"/>
      <c r="E5" s="1"/>
      <c r="F5" s="2"/>
    </row>
    <row r="6" spans="1:6" ht="85.5">
      <c r="A6" s="7"/>
      <c r="B6" s="8" t="s">
        <v>1</v>
      </c>
      <c r="C6" s="8" t="s">
        <v>2</v>
      </c>
      <c r="D6" s="8" t="s">
        <v>3</v>
      </c>
      <c r="E6" s="8" t="s">
        <v>4</v>
      </c>
      <c r="F6" s="2"/>
    </row>
    <row r="7" spans="1:7" ht="15">
      <c r="A7" s="90" t="s">
        <v>37</v>
      </c>
      <c r="B7" s="91"/>
      <c r="C7" s="92"/>
      <c r="D7" s="17">
        <f>SUM(D8:D9)</f>
        <v>269.14248769331357</v>
      </c>
      <c r="E7" s="17">
        <f>SUM(E8:E9)</f>
        <v>0.4415067055336509</v>
      </c>
      <c r="F7" s="20"/>
      <c r="G7" s="19"/>
    </row>
    <row r="8" spans="1:7" ht="15.75" customHeight="1">
      <c r="A8" s="12">
        <v>1</v>
      </c>
      <c r="B8" s="7" t="s">
        <v>11</v>
      </c>
      <c r="C8" s="14" t="s">
        <v>12</v>
      </c>
      <c r="D8" s="15">
        <f>E8*$D$2*12</f>
        <v>246.2419832509731</v>
      </c>
      <c r="E8" s="21">
        <v>0.403940261238473</v>
      </c>
      <c r="F8" s="18"/>
      <c r="G8" s="19"/>
    </row>
    <row r="9" spans="1:7" ht="30">
      <c r="A9" s="12">
        <v>2</v>
      </c>
      <c r="B9" s="13" t="s">
        <v>13</v>
      </c>
      <c r="C9" s="13" t="s">
        <v>14</v>
      </c>
      <c r="D9" s="15">
        <f>E9*$D$2*12</f>
        <v>22.90050444234045</v>
      </c>
      <c r="E9" s="21">
        <v>0.0375664442951779</v>
      </c>
      <c r="F9" s="18"/>
      <c r="G9" s="19"/>
    </row>
    <row r="10" spans="1:7" ht="29.25" customHeight="1">
      <c r="A10" s="90" t="s">
        <v>103</v>
      </c>
      <c r="B10" s="93"/>
      <c r="C10" s="94"/>
      <c r="D10" s="22">
        <f>SUM(D11:D11)</f>
        <v>17.493366012269497</v>
      </c>
      <c r="E10" s="22">
        <f>SUM(E11:E11)</f>
        <v>0.0286964665555602</v>
      </c>
      <c r="F10" s="18"/>
      <c r="G10" s="19"/>
    </row>
    <row r="11" spans="1:6" ht="75" customHeight="1">
      <c r="A11" s="12">
        <v>3</v>
      </c>
      <c r="B11" s="13" t="s">
        <v>38</v>
      </c>
      <c r="C11" s="13" t="s">
        <v>7</v>
      </c>
      <c r="D11" s="15">
        <f>E11*12*$D$2</f>
        <v>17.493366012269497</v>
      </c>
      <c r="E11" s="15">
        <v>0.0286964665555602</v>
      </c>
      <c r="F11" s="2"/>
    </row>
    <row r="12" spans="1:9" ht="15">
      <c r="A12" s="95" t="s">
        <v>39</v>
      </c>
      <c r="B12" s="96"/>
      <c r="C12" s="96"/>
      <c r="D12" s="11">
        <f>SUM(D13:D14)</f>
        <v>856.0409352073996</v>
      </c>
      <c r="E12" s="11">
        <f>SUM(E13:E14)</f>
        <v>1.4042666259963903</v>
      </c>
      <c r="F12" s="2"/>
      <c r="G12" s="51"/>
      <c r="H12" s="51"/>
      <c r="I12" s="52"/>
    </row>
    <row r="13" spans="1:9" ht="75">
      <c r="A13" s="12">
        <v>4</v>
      </c>
      <c r="B13" s="64" t="s">
        <v>48</v>
      </c>
      <c r="C13" s="64" t="s">
        <v>7</v>
      </c>
      <c r="D13" s="15">
        <f>E13*12*$D$2</f>
        <v>95.8761052558593</v>
      </c>
      <c r="E13" s="15">
        <f>0.0727190176940859+0.0845580578568644</f>
        <v>0.1572770755509503</v>
      </c>
      <c r="F13" s="2"/>
      <c r="G13" s="51"/>
      <c r="H13" s="51"/>
      <c r="I13" s="52"/>
    </row>
    <row r="14" spans="1:9" ht="90">
      <c r="A14" s="12">
        <v>5</v>
      </c>
      <c r="B14" s="64" t="s">
        <v>19</v>
      </c>
      <c r="C14" s="64" t="s">
        <v>50</v>
      </c>
      <c r="D14" s="15">
        <f>E14*12*$D$2</f>
        <v>760.1648299515402</v>
      </c>
      <c r="E14" s="21">
        <f>1.13446643584544+0.1125231146</f>
        <v>1.24698955044544</v>
      </c>
      <c r="F14" s="2"/>
      <c r="G14" s="54"/>
      <c r="H14" s="54"/>
      <c r="I14" s="54"/>
    </row>
    <row r="15" spans="1:9" ht="15">
      <c r="A15" s="95" t="s">
        <v>41</v>
      </c>
      <c r="B15" s="95"/>
      <c r="C15" s="95"/>
      <c r="D15" s="23">
        <f>SUM(D16)</f>
        <v>86.42510743072124</v>
      </c>
      <c r="E15" s="22">
        <f>SUM(E16)</f>
        <v>0.1417734701947527</v>
      </c>
      <c r="F15" s="2"/>
      <c r="G15" s="54"/>
      <c r="H15" s="54"/>
      <c r="I15" s="54"/>
    </row>
    <row r="16" spans="1:6" ht="15">
      <c r="A16" s="12">
        <v>6</v>
      </c>
      <c r="B16" s="13" t="s">
        <v>21</v>
      </c>
      <c r="C16" s="13" t="s">
        <v>22</v>
      </c>
      <c r="D16" s="15">
        <f>E16*12*$D$2</f>
        <v>86.42510743072124</v>
      </c>
      <c r="E16" s="21">
        <f>0.0218915804309727+0.11988188976378</f>
        <v>0.1417734701947527</v>
      </c>
      <c r="F16" s="2"/>
    </row>
    <row r="17" spans="1:6" ht="15">
      <c r="A17" s="8"/>
      <c r="B17" s="24" t="s">
        <v>24</v>
      </c>
      <c r="C17" s="24"/>
      <c r="D17" s="25">
        <f>D7+D10+D12+D15</f>
        <v>1229.1018963437039</v>
      </c>
      <c r="E17" s="17">
        <f>E7+E10+E12+E15</f>
        <v>2.016243268280354</v>
      </c>
      <c r="F17" s="5"/>
    </row>
    <row r="18" spans="1:6" ht="8.25" customHeight="1">
      <c r="A18" s="26"/>
      <c r="B18" s="27"/>
      <c r="C18" s="28"/>
      <c r="D18" s="29"/>
      <c r="E18" s="30"/>
      <c r="F18" s="2"/>
    </row>
    <row r="19" spans="1:6" ht="105">
      <c r="A19" s="10" t="s">
        <v>25</v>
      </c>
      <c r="B19" s="10" t="s">
        <v>26</v>
      </c>
      <c r="C19" s="10" t="s">
        <v>27</v>
      </c>
      <c r="D19" s="10" t="s">
        <v>28</v>
      </c>
      <c r="E19" s="10" t="s">
        <v>29</v>
      </c>
      <c r="F19" s="10" t="s">
        <v>30</v>
      </c>
    </row>
    <row r="20" spans="1:6" ht="15">
      <c r="A20" s="10">
        <v>1</v>
      </c>
      <c r="B20" s="7" t="s">
        <v>110</v>
      </c>
      <c r="C20" s="10" t="s">
        <v>46</v>
      </c>
      <c r="D20" s="10">
        <v>1006</v>
      </c>
      <c r="E20" s="33">
        <f>D20/12/$D$2</f>
        <v>1.650262467191601</v>
      </c>
      <c r="F20" s="34">
        <v>2</v>
      </c>
    </row>
    <row r="21" spans="1:6" ht="15">
      <c r="A21" s="10"/>
      <c r="B21" s="36" t="s">
        <v>31</v>
      </c>
      <c r="C21" s="9"/>
      <c r="D21" s="37">
        <f>SUM(D20:D20)</f>
        <v>1006</v>
      </c>
      <c r="E21" s="38">
        <f>SUM(E20:E20)</f>
        <v>1.650262467191601</v>
      </c>
      <c r="F21" s="39"/>
    </row>
    <row r="22" spans="1:6" ht="15">
      <c r="A22" s="26"/>
      <c r="B22" s="27"/>
      <c r="C22" s="40"/>
      <c r="D22" s="40"/>
      <c r="E22" s="40"/>
      <c r="F22" s="40"/>
    </row>
    <row r="23" spans="1:6" ht="29.25">
      <c r="A23" s="26"/>
      <c r="B23" s="27" t="s">
        <v>32</v>
      </c>
      <c r="C23" s="41">
        <f>D17+D21</f>
        <v>2235.1018963437036</v>
      </c>
      <c r="D23" s="41"/>
      <c r="E23" s="41"/>
      <c r="F23" s="40"/>
    </row>
    <row r="24" spans="1:6" ht="15">
      <c r="A24" s="26"/>
      <c r="B24" s="27" t="s">
        <v>33</v>
      </c>
      <c r="C24" s="42">
        <f>E17+E21</f>
        <v>3.6665057354719552</v>
      </c>
      <c r="D24" s="40"/>
      <c r="E24" s="40"/>
      <c r="F24" s="40"/>
    </row>
    <row r="25" spans="1:6" ht="3" customHeight="1">
      <c r="A25" s="26"/>
      <c r="B25" s="27"/>
      <c r="C25" s="42"/>
      <c r="D25" s="40"/>
      <c r="E25" s="40"/>
      <c r="F25" s="40"/>
    </row>
    <row r="26" spans="1:6" ht="30" customHeight="1">
      <c r="A26" s="88" t="s">
        <v>111</v>
      </c>
      <c r="B26" s="88"/>
      <c r="C26" s="88"/>
      <c r="D26" s="88"/>
      <c r="E26" s="88"/>
      <c r="F26" s="88"/>
    </row>
    <row r="27" spans="1:6" ht="6" customHeight="1">
      <c r="A27" s="1"/>
      <c r="B27" s="1"/>
      <c r="C27" s="1"/>
      <c r="D27" s="2"/>
      <c r="E27" s="2"/>
      <c r="F27" s="2"/>
    </row>
    <row r="28" spans="1:6" ht="85.5">
      <c r="A28" s="7"/>
      <c r="B28" s="8" t="s">
        <v>1</v>
      </c>
      <c r="C28" s="8" t="s">
        <v>2</v>
      </c>
      <c r="D28" s="8" t="s">
        <v>3</v>
      </c>
      <c r="E28" s="8" t="s">
        <v>4</v>
      </c>
      <c r="F28" s="2"/>
    </row>
    <row r="29" spans="1:5" ht="30" customHeight="1">
      <c r="A29" s="89" t="s">
        <v>123</v>
      </c>
      <c r="B29" s="89"/>
      <c r="C29" s="89"/>
      <c r="D29" s="17">
        <f>D30</f>
        <v>6.095999999999999</v>
      </c>
      <c r="E29" s="17">
        <f>E30</f>
        <v>0.01</v>
      </c>
    </row>
    <row r="30" spans="1:5" ht="30">
      <c r="A30" s="12" t="s">
        <v>5</v>
      </c>
      <c r="B30" s="43" t="s">
        <v>35</v>
      </c>
      <c r="C30" s="43" t="s">
        <v>42</v>
      </c>
      <c r="D30" s="15">
        <f>E30*12*$D$2</f>
        <v>6.095999999999999</v>
      </c>
      <c r="E30" s="44">
        <v>0.01</v>
      </c>
    </row>
    <row r="31" spans="1:5" ht="30" customHeight="1">
      <c r="A31" s="89" t="s">
        <v>102</v>
      </c>
      <c r="B31" s="89"/>
      <c r="C31" s="89"/>
      <c r="D31" s="17">
        <f>D32</f>
        <v>36.57599999999999</v>
      </c>
      <c r="E31" s="17">
        <f>E32</f>
        <v>0.06</v>
      </c>
    </row>
    <row r="32" spans="1:5" ht="15">
      <c r="A32" s="12" t="s">
        <v>34</v>
      </c>
      <c r="B32" s="45" t="s">
        <v>9</v>
      </c>
      <c r="C32" s="7" t="s">
        <v>42</v>
      </c>
      <c r="D32" s="15">
        <f>E32*$D$2*12</f>
        <v>36.57599999999999</v>
      </c>
      <c r="E32" s="16">
        <v>0.06</v>
      </c>
    </row>
    <row r="33" spans="1:6" ht="15">
      <c r="A33" s="8"/>
      <c r="B33" s="24" t="s">
        <v>24</v>
      </c>
      <c r="C33" s="24"/>
      <c r="D33" s="25">
        <f>D29+D31</f>
        <v>42.67199999999999</v>
      </c>
      <c r="E33" s="17">
        <f>E29+E31</f>
        <v>0.06999999999999999</v>
      </c>
      <c r="F33" s="5"/>
    </row>
    <row r="34" spans="1:6" ht="5.25" customHeight="1">
      <c r="A34" s="2"/>
      <c r="B34" s="2"/>
      <c r="C34" s="2"/>
      <c r="D34" s="2"/>
      <c r="E34" s="2"/>
      <c r="F34" s="2"/>
    </row>
    <row r="35" spans="1:6" ht="4.5" customHeight="1">
      <c r="A35" s="31"/>
      <c r="B35" s="31"/>
      <c r="C35" s="31"/>
      <c r="D35" s="31"/>
      <c r="E35" s="31"/>
      <c r="F35" s="32"/>
    </row>
    <row r="36" spans="1:6" ht="105">
      <c r="A36" s="10" t="s">
        <v>25</v>
      </c>
      <c r="B36" s="10" t="s">
        <v>26</v>
      </c>
      <c r="C36" s="10" t="s">
        <v>27</v>
      </c>
      <c r="D36" s="10" t="s">
        <v>28</v>
      </c>
      <c r="E36" s="10" t="s">
        <v>36</v>
      </c>
      <c r="F36" s="10" t="s">
        <v>30</v>
      </c>
    </row>
    <row r="37" spans="1:6" ht="15">
      <c r="A37" s="10">
        <v>1</v>
      </c>
      <c r="B37" s="7" t="s">
        <v>110</v>
      </c>
      <c r="C37" s="10" t="s">
        <v>46</v>
      </c>
      <c r="D37" s="10">
        <v>1006</v>
      </c>
      <c r="E37" s="46">
        <f>D37/12/$D$2</f>
        <v>1.650262467191601</v>
      </c>
      <c r="F37" s="34">
        <v>2</v>
      </c>
    </row>
    <row r="38" spans="1:6" ht="15">
      <c r="A38" s="47"/>
      <c r="B38" s="47" t="s">
        <v>31</v>
      </c>
      <c r="C38" s="47"/>
      <c r="D38" s="48">
        <f>SUM(D37:D37)</f>
        <v>1006</v>
      </c>
      <c r="E38" s="49">
        <f>SUM(E37:E37)</f>
        <v>1.650262467191601</v>
      </c>
      <c r="F38" s="47"/>
    </row>
    <row r="41" spans="2:3" ht="43.5">
      <c r="B41" s="27" t="s">
        <v>84</v>
      </c>
      <c r="C41" s="58">
        <f>C23</f>
        <v>2235.1018963437036</v>
      </c>
    </row>
  </sheetData>
  <mergeCells count="8">
    <mergeCell ref="A4:E4"/>
    <mergeCell ref="A7:C7"/>
    <mergeCell ref="A10:C10"/>
    <mergeCell ref="A12:C12"/>
    <mergeCell ref="A31:C31"/>
    <mergeCell ref="A15:C15"/>
    <mergeCell ref="A26:F26"/>
    <mergeCell ref="A29:C29"/>
  </mergeCells>
  <printOptions/>
  <pageMargins left="0.7874015748031497" right="0.2362204724409449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32">
      <selection activeCell="C41" sqref="C41"/>
    </sheetView>
  </sheetViews>
  <sheetFormatPr defaultColWidth="9.140625" defaultRowHeight="12.75"/>
  <cols>
    <col min="1" max="1" width="3.421875" style="3" customWidth="1"/>
    <col min="2" max="2" width="40.8515625" style="3" customWidth="1"/>
    <col min="3" max="3" width="17.421875" style="3" customWidth="1"/>
    <col min="4" max="4" width="11.28125" style="3" customWidth="1"/>
    <col min="5" max="5" width="11.8515625" style="3" customWidth="1"/>
    <col min="6" max="6" width="8.57421875" style="3" customWidth="1"/>
    <col min="7" max="16384" width="9.140625" style="3" customWidth="1"/>
  </cols>
  <sheetData>
    <row r="1" ht="15">
      <c r="B1" s="56" t="s">
        <v>60</v>
      </c>
    </row>
    <row r="2" spans="1:6" ht="24" customHeight="1">
      <c r="A2" s="2"/>
      <c r="B2" s="1" t="s">
        <v>190</v>
      </c>
      <c r="C2" s="4"/>
      <c r="D2" s="57">
        <v>53</v>
      </c>
      <c r="E2" s="5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40.5" customHeight="1">
      <c r="A4" s="88" t="s">
        <v>109</v>
      </c>
      <c r="B4" s="88"/>
      <c r="C4" s="88"/>
      <c r="D4" s="88"/>
      <c r="E4" s="88"/>
      <c r="F4" s="2"/>
    </row>
    <row r="5" spans="1:6" ht="15">
      <c r="A5" s="1"/>
      <c r="B5" s="1"/>
      <c r="C5" s="1"/>
      <c r="D5" s="1"/>
      <c r="E5" s="1"/>
      <c r="F5" s="2"/>
    </row>
    <row r="6" spans="1:6" ht="85.5">
      <c r="A6" s="7"/>
      <c r="B6" s="8" t="s">
        <v>1</v>
      </c>
      <c r="C6" s="8" t="s">
        <v>2</v>
      </c>
      <c r="D6" s="8" t="s">
        <v>3</v>
      </c>
      <c r="E6" s="8" t="s">
        <v>4</v>
      </c>
      <c r="F6" s="2"/>
    </row>
    <row r="7" spans="1:7" ht="15">
      <c r="A7" s="90" t="s">
        <v>37</v>
      </c>
      <c r="B7" s="91"/>
      <c r="C7" s="92"/>
      <c r="D7" s="17">
        <f>SUM(D8:D9)</f>
        <v>269.14248769331306</v>
      </c>
      <c r="E7" s="17">
        <f>SUM(E8:E9)</f>
        <v>0.4231800120964042</v>
      </c>
      <c r="F7" s="20"/>
      <c r="G7" s="19"/>
    </row>
    <row r="8" spans="1:7" ht="15.75" customHeight="1">
      <c r="A8" s="12">
        <v>1</v>
      </c>
      <c r="B8" s="7" t="s">
        <v>11</v>
      </c>
      <c r="C8" s="14" t="s">
        <v>12</v>
      </c>
      <c r="D8" s="15">
        <f>E8*$D$2*12</f>
        <v>246.2419832509726</v>
      </c>
      <c r="E8" s="21">
        <v>0.387172929639894</v>
      </c>
      <c r="F8" s="18"/>
      <c r="G8" s="19"/>
    </row>
    <row r="9" spans="1:7" ht="30">
      <c r="A9" s="12">
        <v>2</v>
      </c>
      <c r="B9" s="13" t="s">
        <v>13</v>
      </c>
      <c r="C9" s="13" t="s">
        <v>14</v>
      </c>
      <c r="D9" s="15">
        <f>E9*$D$2*12</f>
        <v>22.900504442340488</v>
      </c>
      <c r="E9" s="21">
        <v>0.0360070824565102</v>
      </c>
      <c r="F9" s="18"/>
      <c r="G9" s="19"/>
    </row>
    <row r="10" spans="1:7" ht="29.25" customHeight="1">
      <c r="A10" s="90" t="s">
        <v>103</v>
      </c>
      <c r="B10" s="93"/>
      <c r="C10" s="94"/>
      <c r="D10" s="22">
        <f>SUM(D11:D11)</f>
        <v>17.49336601226953</v>
      </c>
      <c r="E10" s="22">
        <f>SUM(E11:E11)</f>
        <v>0.0275052924721219</v>
      </c>
      <c r="F10" s="18"/>
      <c r="G10" s="19"/>
    </row>
    <row r="11" spans="1:6" ht="75" customHeight="1">
      <c r="A11" s="12">
        <v>3</v>
      </c>
      <c r="B11" s="13" t="s">
        <v>38</v>
      </c>
      <c r="C11" s="13" t="s">
        <v>7</v>
      </c>
      <c r="D11" s="15">
        <f>E11*12*$D$2</f>
        <v>17.49336601226953</v>
      </c>
      <c r="E11" s="15">
        <v>0.0275052924721219</v>
      </c>
      <c r="F11" s="2"/>
    </row>
    <row r="12" spans="1:9" ht="15">
      <c r="A12" s="95" t="s">
        <v>39</v>
      </c>
      <c r="B12" s="96"/>
      <c r="C12" s="96"/>
      <c r="D12" s="11">
        <f>SUM(D13:D14)</f>
        <v>754.3748022363401</v>
      </c>
      <c r="E12" s="11">
        <f>SUM(E13:E14)</f>
        <v>1.1861239028873272</v>
      </c>
      <c r="F12" s="2"/>
      <c r="G12" s="51"/>
      <c r="H12" s="51"/>
      <c r="I12" s="52"/>
    </row>
    <row r="13" spans="1:9" ht="61.5" customHeight="1">
      <c r="A13" s="12">
        <v>4</v>
      </c>
      <c r="B13" s="13" t="s">
        <v>43</v>
      </c>
      <c r="C13" s="13" t="s">
        <v>7</v>
      </c>
      <c r="D13" s="15">
        <f>E13*12*$D$2</f>
        <v>105.47717413296212</v>
      </c>
      <c r="E13" s="15">
        <f>0.0686028468812131+0.097241766535394</f>
        <v>0.1658446134166071</v>
      </c>
      <c r="F13" s="2"/>
      <c r="G13" s="51"/>
      <c r="H13" s="51"/>
      <c r="I13" s="52"/>
    </row>
    <row r="14" spans="1:9" ht="75">
      <c r="A14" s="12">
        <v>5</v>
      </c>
      <c r="B14" s="13" t="s">
        <v>19</v>
      </c>
      <c r="C14" s="13" t="s">
        <v>40</v>
      </c>
      <c r="D14" s="15">
        <f>E14*12*$D$2</f>
        <v>648.897628103378</v>
      </c>
      <c r="E14" s="21">
        <f>0.90775617487072+0.1125231146</f>
        <v>1.02027928947072</v>
      </c>
      <c r="F14" s="2"/>
      <c r="G14" s="54"/>
      <c r="H14" s="54"/>
      <c r="I14" s="54"/>
    </row>
    <row r="15" spans="1:9" ht="15">
      <c r="A15" s="95" t="s">
        <v>41</v>
      </c>
      <c r="B15" s="95"/>
      <c r="C15" s="95"/>
      <c r="D15" s="23">
        <f>SUM(D16)</f>
        <v>85.42492529453011</v>
      </c>
      <c r="E15" s="22">
        <f>SUM(E16)</f>
        <v>0.1343159202744184</v>
      </c>
      <c r="F15" s="2"/>
      <c r="G15" s="54"/>
      <c r="H15" s="54"/>
      <c r="I15" s="54"/>
    </row>
    <row r="16" spans="1:6" ht="15">
      <c r="A16" s="12">
        <v>6</v>
      </c>
      <c r="B16" s="13" t="s">
        <v>21</v>
      </c>
      <c r="C16" s="13" t="s">
        <v>22</v>
      </c>
      <c r="D16" s="15">
        <f>E16*12*$D$2</f>
        <v>85.42492529453011</v>
      </c>
      <c r="E16" s="21">
        <f>0.0194102598970604+0.114905660377358</f>
        <v>0.1343159202744184</v>
      </c>
      <c r="F16" s="2"/>
    </row>
    <row r="17" spans="1:6" ht="15">
      <c r="A17" s="8"/>
      <c r="B17" s="24" t="s">
        <v>24</v>
      </c>
      <c r="C17" s="24"/>
      <c r="D17" s="25">
        <f>D7+D10+D12+D15</f>
        <v>1126.435581236453</v>
      </c>
      <c r="E17" s="17">
        <f>E7+E10+E12+E15</f>
        <v>1.7711251277302718</v>
      </c>
      <c r="F17" s="5"/>
    </row>
    <row r="18" spans="1:6" ht="15">
      <c r="A18" s="26"/>
      <c r="B18" s="27"/>
      <c r="C18" s="28"/>
      <c r="D18" s="29"/>
      <c r="E18" s="30"/>
      <c r="F18" s="2"/>
    </row>
    <row r="19" spans="1:6" ht="105">
      <c r="A19" s="10" t="s">
        <v>25</v>
      </c>
      <c r="B19" s="10" t="s">
        <v>26</v>
      </c>
      <c r="C19" s="10" t="s">
        <v>27</v>
      </c>
      <c r="D19" s="10" t="s">
        <v>28</v>
      </c>
      <c r="E19" s="10" t="s">
        <v>29</v>
      </c>
      <c r="F19" s="10" t="s">
        <v>30</v>
      </c>
    </row>
    <row r="20" spans="1:6" ht="15">
      <c r="A20" s="10">
        <v>1</v>
      </c>
      <c r="B20" s="7" t="s">
        <v>110</v>
      </c>
      <c r="C20" s="10" t="s">
        <v>46</v>
      </c>
      <c r="D20" s="10">
        <v>1006</v>
      </c>
      <c r="E20" s="33">
        <f>D20/12/$D$2</f>
        <v>1.5817610062893082</v>
      </c>
      <c r="F20" s="34">
        <v>2</v>
      </c>
    </row>
    <row r="21" spans="1:6" ht="15">
      <c r="A21" s="10"/>
      <c r="B21" s="36" t="s">
        <v>31</v>
      </c>
      <c r="C21" s="9"/>
      <c r="D21" s="37">
        <f>SUM(D20:D20)</f>
        <v>1006</v>
      </c>
      <c r="E21" s="38">
        <f>SUM(E20:E20)</f>
        <v>1.5817610062893082</v>
      </c>
      <c r="F21" s="39"/>
    </row>
    <row r="22" spans="1:6" ht="15">
      <c r="A22" s="26"/>
      <c r="B22" s="27"/>
      <c r="C22" s="40"/>
      <c r="D22" s="40"/>
      <c r="E22" s="40"/>
      <c r="F22" s="40"/>
    </row>
    <row r="23" spans="1:6" ht="29.25">
      <c r="A23" s="26"/>
      <c r="B23" s="27" t="s">
        <v>32</v>
      </c>
      <c r="C23" s="41">
        <f>D17+D21</f>
        <v>2132.435581236453</v>
      </c>
      <c r="D23" s="41"/>
      <c r="E23" s="41"/>
      <c r="F23" s="40"/>
    </row>
    <row r="24" spans="1:6" ht="15">
      <c r="A24" s="26"/>
      <c r="B24" s="27" t="s">
        <v>33</v>
      </c>
      <c r="C24" s="42">
        <f>E17+E21</f>
        <v>3.35288613401958</v>
      </c>
      <c r="D24" s="40"/>
      <c r="E24" s="40"/>
      <c r="F24" s="40"/>
    </row>
    <row r="25" spans="1:6" ht="3" customHeight="1">
      <c r="A25" s="26"/>
      <c r="B25" s="27"/>
      <c r="C25" s="42"/>
      <c r="D25" s="40"/>
      <c r="E25" s="40"/>
      <c r="F25" s="40"/>
    </row>
    <row r="26" spans="1:6" ht="30" customHeight="1">
      <c r="A26" s="88" t="s">
        <v>111</v>
      </c>
      <c r="B26" s="88"/>
      <c r="C26" s="88"/>
      <c r="D26" s="88"/>
      <c r="E26" s="88"/>
      <c r="F26" s="88"/>
    </row>
    <row r="27" spans="1:6" ht="6" customHeight="1">
      <c r="A27" s="1"/>
      <c r="B27" s="1"/>
      <c r="C27" s="1"/>
      <c r="D27" s="2"/>
      <c r="E27" s="2"/>
      <c r="F27" s="2"/>
    </row>
    <row r="28" spans="1:6" ht="85.5">
      <c r="A28" s="7"/>
      <c r="B28" s="8" t="s">
        <v>1</v>
      </c>
      <c r="C28" s="8" t="s">
        <v>2</v>
      </c>
      <c r="D28" s="8" t="s">
        <v>3</v>
      </c>
      <c r="E28" s="8" t="s">
        <v>4</v>
      </c>
      <c r="F28" s="2"/>
    </row>
    <row r="29" spans="1:5" ht="30" customHeight="1">
      <c r="A29" s="89" t="s">
        <v>123</v>
      </c>
      <c r="B29" s="89"/>
      <c r="C29" s="89"/>
      <c r="D29" s="17">
        <f>D30</f>
        <v>6.359999999999999</v>
      </c>
      <c r="E29" s="17">
        <f>E30</f>
        <v>0.01</v>
      </c>
    </row>
    <row r="30" spans="1:5" ht="30">
      <c r="A30" s="12" t="s">
        <v>5</v>
      </c>
      <c r="B30" s="43" t="s">
        <v>35</v>
      </c>
      <c r="C30" s="43" t="s">
        <v>42</v>
      </c>
      <c r="D30" s="15">
        <f>E30*12*$D$2</f>
        <v>6.359999999999999</v>
      </c>
      <c r="E30" s="44">
        <v>0.01</v>
      </c>
    </row>
    <row r="31" spans="1:5" ht="30" customHeight="1">
      <c r="A31" s="89" t="s">
        <v>102</v>
      </c>
      <c r="B31" s="89"/>
      <c r="C31" s="89"/>
      <c r="D31" s="17">
        <f>D32</f>
        <v>38.16</v>
      </c>
      <c r="E31" s="17">
        <f>E32</f>
        <v>0.06</v>
      </c>
    </row>
    <row r="32" spans="1:5" ht="15">
      <c r="A32" s="12" t="s">
        <v>34</v>
      </c>
      <c r="B32" s="45" t="s">
        <v>9</v>
      </c>
      <c r="C32" s="7" t="s">
        <v>42</v>
      </c>
      <c r="D32" s="15">
        <f>E32*$D$2*12</f>
        <v>38.16</v>
      </c>
      <c r="E32" s="16">
        <v>0.06</v>
      </c>
    </row>
    <row r="33" spans="1:6" ht="15">
      <c r="A33" s="8"/>
      <c r="B33" s="24" t="s">
        <v>24</v>
      </c>
      <c r="C33" s="24"/>
      <c r="D33" s="25">
        <f>D29+D31</f>
        <v>44.519999999999996</v>
      </c>
      <c r="E33" s="17">
        <f>E29+E31</f>
        <v>0.06999999999999999</v>
      </c>
      <c r="F33" s="5"/>
    </row>
    <row r="34" spans="1:6" ht="5.25" customHeight="1">
      <c r="A34" s="2"/>
      <c r="B34" s="2"/>
      <c r="C34" s="2"/>
      <c r="D34" s="2"/>
      <c r="E34" s="2"/>
      <c r="F34" s="2"/>
    </row>
    <row r="35" spans="1:6" ht="4.5" customHeight="1">
      <c r="A35" s="31"/>
      <c r="B35" s="31"/>
      <c r="C35" s="31"/>
      <c r="D35" s="31"/>
      <c r="E35" s="31"/>
      <c r="F35" s="32"/>
    </row>
    <row r="36" spans="1:6" ht="105">
      <c r="A36" s="10" t="s">
        <v>25</v>
      </c>
      <c r="B36" s="10" t="s">
        <v>26</v>
      </c>
      <c r="C36" s="10" t="s">
        <v>27</v>
      </c>
      <c r="D36" s="10" t="s">
        <v>28</v>
      </c>
      <c r="E36" s="10" t="s">
        <v>36</v>
      </c>
      <c r="F36" s="10" t="s">
        <v>30</v>
      </c>
    </row>
    <row r="37" spans="1:6" ht="15">
      <c r="A37" s="10">
        <v>1</v>
      </c>
      <c r="B37" s="7" t="s">
        <v>110</v>
      </c>
      <c r="C37" s="10" t="s">
        <v>46</v>
      </c>
      <c r="D37" s="10">
        <v>1006</v>
      </c>
      <c r="E37" s="46">
        <f>D37/12/$D$2</f>
        <v>1.5817610062893082</v>
      </c>
      <c r="F37" s="34">
        <v>2</v>
      </c>
    </row>
    <row r="38" spans="1:6" ht="15">
      <c r="A38" s="47"/>
      <c r="B38" s="47" t="s">
        <v>31</v>
      </c>
      <c r="C38" s="47"/>
      <c r="D38" s="48">
        <f>SUM(D37:D37)</f>
        <v>1006</v>
      </c>
      <c r="E38" s="49">
        <f>SUM(E37:E37)</f>
        <v>1.5817610062893082</v>
      </c>
      <c r="F38" s="47"/>
    </row>
    <row r="41" spans="2:3" ht="43.5">
      <c r="B41" s="27" t="s">
        <v>85</v>
      </c>
      <c r="C41" s="58">
        <f>C23</f>
        <v>2132.435581236453</v>
      </c>
    </row>
  </sheetData>
  <mergeCells count="8">
    <mergeCell ref="A31:C31"/>
    <mergeCell ref="A15:C15"/>
    <mergeCell ref="A26:F26"/>
    <mergeCell ref="A29:C29"/>
    <mergeCell ref="A4:E4"/>
    <mergeCell ref="A7:C7"/>
    <mergeCell ref="A10:C10"/>
    <mergeCell ref="A12:C12"/>
  </mergeCells>
  <printOptions/>
  <pageMargins left="0.7874015748031497" right="0.2362204724409449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">
      <selection activeCell="D2" sqref="D2"/>
    </sheetView>
  </sheetViews>
  <sheetFormatPr defaultColWidth="9.140625" defaultRowHeight="12.75"/>
  <cols>
    <col min="1" max="1" width="3.421875" style="3" customWidth="1"/>
    <col min="2" max="2" width="40.8515625" style="3" customWidth="1"/>
    <col min="3" max="3" width="17.421875" style="3" customWidth="1"/>
    <col min="4" max="4" width="11.28125" style="3" customWidth="1"/>
    <col min="5" max="5" width="11.8515625" style="3" customWidth="1"/>
    <col min="6" max="6" width="8.57421875" style="3" customWidth="1"/>
    <col min="7" max="16384" width="9.140625" style="3" customWidth="1"/>
  </cols>
  <sheetData>
    <row r="1" ht="15">
      <c r="B1" s="56" t="s">
        <v>61</v>
      </c>
    </row>
    <row r="2" spans="1:6" ht="24" customHeight="1">
      <c r="A2" s="2"/>
      <c r="B2" s="1" t="s">
        <v>184</v>
      </c>
      <c r="C2" s="4"/>
      <c r="D2" s="57">
        <v>107</v>
      </c>
      <c r="E2" s="5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40.5" customHeight="1">
      <c r="A4" s="88" t="s">
        <v>109</v>
      </c>
      <c r="B4" s="88"/>
      <c r="C4" s="88"/>
      <c r="D4" s="88"/>
      <c r="E4" s="88"/>
      <c r="F4" s="2"/>
    </row>
    <row r="5" spans="1:6" ht="15">
      <c r="A5" s="1"/>
      <c r="B5" s="1"/>
      <c r="C5" s="1"/>
      <c r="D5" s="1"/>
      <c r="E5" s="1"/>
      <c r="F5" s="2"/>
    </row>
    <row r="6" spans="1:6" ht="85.5">
      <c r="A6" s="7"/>
      <c r="B6" s="8" t="s">
        <v>1</v>
      </c>
      <c r="C6" s="8" t="s">
        <v>2</v>
      </c>
      <c r="D6" s="8" t="s">
        <v>3</v>
      </c>
      <c r="E6" s="8" t="s">
        <v>4</v>
      </c>
      <c r="F6" s="2"/>
    </row>
    <row r="7" spans="1:7" ht="15">
      <c r="A7" s="90" t="s">
        <v>37</v>
      </c>
      <c r="B7" s="91"/>
      <c r="C7" s="92"/>
      <c r="D7" s="17">
        <f>SUM(D8:D9)</f>
        <v>538.2849753866266</v>
      </c>
      <c r="E7" s="17">
        <f>SUM(E8:E9)</f>
        <v>0.419225058712326</v>
      </c>
      <c r="F7" s="20"/>
      <c r="G7" s="19"/>
    </row>
    <row r="8" spans="1:7" ht="15.75" customHeight="1">
      <c r="A8" s="12">
        <v>1</v>
      </c>
      <c r="B8" s="7" t="s">
        <v>11</v>
      </c>
      <c r="C8" s="14" t="s">
        <v>12</v>
      </c>
      <c r="D8" s="15">
        <f>E8*$D$2*12</f>
        <v>492.4839665019456</v>
      </c>
      <c r="E8" s="21">
        <v>0.383554491045129</v>
      </c>
      <c r="F8" s="18"/>
      <c r="G8" s="19"/>
    </row>
    <row r="9" spans="1:7" ht="30">
      <c r="A9" s="12">
        <v>2</v>
      </c>
      <c r="B9" s="13" t="s">
        <v>13</v>
      </c>
      <c r="C9" s="13" t="s">
        <v>14</v>
      </c>
      <c r="D9" s="15">
        <f>E9*$D$2*12</f>
        <v>45.80100888468095</v>
      </c>
      <c r="E9" s="21">
        <v>0.035670567667197</v>
      </c>
      <c r="F9" s="18"/>
      <c r="G9" s="19"/>
    </row>
    <row r="10" spans="1:7" ht="29.25" customHeight="1">
      <c r="A10" s="90" t="s">
        <v>103</v>
      </c>
      <c r="B10" s="93"/>
      <c r="C10" s="94"/>
      <c r="D10" s="22">
        <f>SUM(D11:D11)</f>
        <v>17.49336601226951</v>
      </c>
      <c r="E10" s="22">
        <f>SUM(E11:E11)</f>
        <v>0.0136241168319856</v>
      </c>
      <c r="F10" s="18"/>
      <c r="G10" s="19"/>
    </row>
    <row r="11" spans="1:6" ht="75" customHeight="1">
      <c r="A11" s="12">
        <v>3</v>
      </c>
      <c r="B11" s="13" t="s">
        <v>38</v>
      </c>
      <c r="C11" s="13" t="s">
        <v>7</v>
      </c>
      <c r="D11" s="15">
        <f>E11*12*$D$2</f>
        <v>17.49336601226951</v>
      </c>
      <c r="E11" s="15">
        <v>0.0136241168319856</v>
      </c>
      <c r="F11" s="2"/>
    </row>
    <row r="12" spans="1:9" ht="15">
      <c r="A12" s="95" t="s">
        <v>39</v>
      </c>
      <c r="B12" s="96"/>
      <c r="C12" s="96"/>
      <c r="D12" s="11">
        <f>SUM(D13:D14)</f>
        <v>1542.2739374389391</v>
      </c>
      <c r="E12" s="11">
        <f>SUM(E13:E14)</f>
        <v>1.2011479263543139</v>
      </c>
      <c r="F12" s="2"/>
      <c r="G12" s="51"/>
      <c r="H12" s="51"/>
      <c r="I12" s="52"/>
    </row>
    <row r="13" spans="1:9" ht="61.5" customHeight="1">
      <c r="A13" s="12">
        <v>4</v>
      </c>
      <c r="B13" s="13" t="s">
        <v>43</v>
      </c>
      <c r="C13" s="13" t="s">
        <v>7</v>
      </c>
      <c r="D13" s="15">
        <f>E13*12*$D$2</f>
        <v>232.23532975853328</v>
      </c>
      <c r="E13" s="15">
        <f>0.0836268703481988+0.0972417665353941</f>
        <v>0.1808686368835929</v>
      </c>
      <c r="F13" s="2"/>
      <c r="G13" s="51"/>
      <c r="H13" s="51"/>
      <c r="I13" s="52"/>
    </row>
    <row r="14" spans="1:9" ht="75">
      <c r="A14" s="12">
        <v>5</v>
      </c>
      <c r="B14" s="13" t="s">
        <v>19</v>
      </c>
      <c r="C14" s="13" t="s">
        <v>40</v>
      </c>
      <c r="D14" s="15">
        <f>E14*12*$D$2</f>
        <v>1310.038607680406</v>
      </c>
      <c r="E14" s="21">
        <f>0.907756174870721+0.1125231146</f>
        <v>1.020279289470721</v>
      </c>
      <c r="F14" s="2"/>
      <c r="G14" s="54"/>
      <c r="H14" s="54"/>
      <c r="I14" s="54"/>
    </row>
    <row r="15" spans="1:9" ht="15">
      <c r="A15" s="95" t="s">
        <v>41</v>
      </c>
      <c r="B15" s="95"/>
      <c r="C15" s="95"/>
      <c r="D15" s="23">
        <f>SUM(D16)</f>
        <v>98.00772</v>
      </c>
      <c r="E15" s="22">
        <f>SUM(E16)</f>
        <v>0.07633000000000001</v>
      </c>
      <c r="F15" s="2"/>
      <c r="G15" s="54"/>
      <c r="H15" s="54"/>
      <c r="I15" s="54"/>
    </row>
    <row r="16" spans="1:6" ht="15">
      <c r="A16" s="12">
        <v>6</v>
      </c>
      <c r="B16" s="13" t="s">
        <v>21</v>
      </c>
      <c r="C16" s="13" t="s">
        <v>22</v>
      </c>
      <c r="D16" s="15">
        <f>E16*12*$D$2</f>
        <v>98.00772</v>
      </c>
      <c r="E16" s="21">
        <f>0.01933+0.057</f>
        <v>0.07633000000000001</v>
      </c>
      <c r="F16" s="2"/>
    </row>
    <row r="17" spans="1:6" ht="15">
      <c r="A17" s="8"/>
      <c r="B17" s="24" t="s">
        <v>24</v>
      </c>
      <c r="C17" s="24"/>
      <c r="D17" s="25">
        <f>D7+D10+D12+D15</f>
        <v>2196.0599988378353</v>
      </c>
      <c r="E17" s="17">
        <f>E7+E10+E12+E15</f>
        <v>1.7103271018986255</v>
      </c>
      <c r="F17" s="5"/>
    </row>
    <row r="18" spans="1:6" ht="15">
      <c r="A18" s="26"/>
      <c r="B18" s="27"/>
      <c r="C18" s="28"/>
      <c r="D18" s="29"/>
      <c r="E18" s="30"/>
      <c r="F18" s="2"/>
    </row>
    <row r="19" spans="1:6" ht="105">
      <c r="A19" s="10" t="s">
        <v>25</v>
      </c>
      <c r="B19" s="10" t="s">
        <v>26</v>
      </c>
      <c r="C19" s="10" t="s">
        <v>27</v>
      </c>
      <c r="D19" s="10" t="s">
        <v>28</v>
      </c>
      <c r="E19" s="10" t="s">
        <v>29</v>
      </c>
      <c r="F19" s="10" t="s">
        <v>30</v>
      </c>
    </row>
    <row r="20" spans="1:6" ht="15">
      <c r="A20" s="10">
        <v>1</v>
      </c>
      <c r="B20" s="7" t="s">
        <v>110</v>
      </c>
      <c r="C20" s="10" t="s">
        <v>185</v>
      </c>
      <c r="D20" s="10">
        <v>2263.5</v>
      </c>
      <c r="E20" s="33">
        <f>D20/12/$D$2</f>
        <v>1.7628504672897196</v>
      </c>
      <c r="F20" s="34">
        <v>2</v>
      </c>
    </row>
    <row r="21" spans="1:6" ht="15">
      <c r="A21" s="10"/>
      <c r="B21" s="36" t="s">
        <v>31</v>
      </c>
      <c r="C21" s="9"/>
      <c r="D21" s="37">
        <f>SUM(D20:D20)</f>
        <v>2263.5</v>
      </c>
      <c r="E21" s="38">
        <f>SUM(E20:E20)</f>
        <v>1.7628504672897196</v>
      </c>
      <c r="F21" s="39"/>
    </row>
    <row r="22" spans="1:6" ht="15">
      <c r="A22" s="26"/>
      <c r="B22" s="27"/>
      <c r="C22" s="40"/>
      <c r="D22" s="40"/>
      <c r="E22" s="40"/>
      <c r="F22" s="40"/>
    </row>
    <row r="23" spans="1:6" ht="29.25">
      <c r="A23" s="26"/>
      <c r="B23" s="27" t="s">
        <v>32</v>
      </c>
      <c r="C23" s="41">
        <f>D17+D21</f>
        <v>4459.559998837835</v>
      </c>
      <c r="D23" s="41"/>
      <c r="E23" s="41"/>
      <c r="F23" s="40"/>
    </row>
    <row r="24" spans="1:6" ht="15">
      <c r="A24" s="26"/>
      <c r="B24" s="27" t="s">
        <v>33</v>
      </c>
      <c r="C24" s="42">
        <f>E17+E21</f>
        <v>3.473177569188345</v>
      </c>
      <c r="D24" s="40"/>
      <c r="E24" s="40"/>
      <c r="F24" s="40"/>
    </row>
    <row r="25" spans="1:6" ht="3" customHeight="1">
      <c r="A25" s="26"/>
      <c r="B25" s="27"/>
      <c r="C25" s="42"/>
      <c r="D25" s="40"/>
      <c r="E25" s="40"/>
      <c r="F25" s="40"/>
    </row>
    <row r="26" spans="1:6" ht="30" customHeight="1">
      <c r="A26" s="88" t="s">
        <v>111</v>
      </c>
      <c r="B26" s="88"/>
      <c r="C26" s="88"/>
      <c r="D26" s="88"/>
      <c r="E26" s="88"/>
      <c r="F26" s="88"/>
    </row>
    <row r="27" spans="1:6" ht="6" customHeight="1">
      <c r="A27" s="1"/>
      <c r="B27" s="1"/>
      <c r="C27" s="1"/>
      <c r="D27" s="2"/>
      <c r="E27" s="2"/>
      <c r="F27" s="2"/>
    </row>
    <row r="28" spans="1:6" ht="85.5">
      <c r="A28" s="7"/>
      <c r="B28" s="8" t="s">
        <v>1</v>
      </c>
      <c r="C28" s="8" t="s">
        <v>2</v>
      </c>
      <c r="D28" s="8" t="s">
        <v>3</v>
      </c>
      <c r="E28" s="8" t="s">
        <v>4</v>
      </c>
      <c r="F28" s="2"/>
    </row>
    <row r="29" spans="1:5" ht="30" customHeight="1">
      <c r="A29" s="89" t="s">
        <v>123</v>
      </c>
      <c r="B29" s="89"/>
      <c r="C29" s="89"/>
      <c r="D29" s="17">
        <f>D30</f>
        <v>12.84</v>
      </c>
      <c r="E29" s="17">
        <f>E30</f>
        <v>0.01</v>
      </c>
    </row>
    <row r="30" spans="1:5" ht="30">
      <c r="A30" s="12" t="s">
        <v>5</v>
      </c>
      <c r="B30" s="43" t="s">
        <v>35</v>
      </c>
      <c r="C30" s="43" t="s">
        <v>42</v>
      </c>
      <c r="D30" s="15">
        <f>E30*12*$D$2</f>
        <v>12.84</v>
      </c>
      <c r="E30" s="44">
        <v>0.01</v>
      </c>
    </row>
    <row r="31" spans="1:5" ht="30" customHeight="1">
      <c r="A31" s="89" t="s">
        <v>102</v>
      </c>
      <c r="B31" s="89"/>
      <c r="C31" s="89"/>
      <c r="D31" s="17">
        <f>D32</f>
        <v>77.03999999999999</v>
      </c>
      <c r="E31" s="17">
        <f>E32</f>
        <v>0.06</v>
      </c>
    </row>
    <row r="32" spans="1:5" ht="15">
      <c r="A32" s="12" t="s">
        <v>34</v>
      </c>
      <c r="B32" s="45" t="s">
        <v>9</v>
      </c>
      <c r="C32" s="7" t="s">
        <v>42</v>
      </c>
      <c r="D32" s="15">
        <f>E32*$D$2*12</f>
        <v>77.03999999999999</v>
      </c>
      <c r="E32" s="16">
        <v>0.06</v>
      </c>
    </row>
    <row r="33" spans="1:6" ht="15">
      <c r="A33" s="8"/>
      <c r="B33" s="24" t="s">
        <v>24</v>
      </c>
      <c r="C33" s="24"/>
      <c r="D33" s="25">
        <f>D29+D31</f>
        <v>89.88</v>
      </c>
      <c r="E33" s="17">
        <f>E29+E31</f>
        <v>0.06999999999999999</v>
      </c>
      <c r="F33" s="5"/>
    </row>
    <row r="34" spans="1:6" ht="5.25" customHeight="1">
      <c r="A34" s="2"/>
      <c r="B34" s="2"/>
      <c r="C34" s="2"/>
      <c r="D34" s="2"/>
      <c r="E34" s="2"/>
      <c r="F34" s="2"/>
    </row>
    <row r="35" spans="1:6" ht="4.5" customHeight="1">
      <c r="A35" s="31"/>
      <c r="B35" s="31"/>
      <c r="C35" s="31"/>
      <c r="D35" s="31"/>
      <c r="E35" s="31"/>
      <c r="F35" s="32"/>
    </row>
    <row r="36" spans="1:6" ht="105">
      <c r="A36" s="10" t="s">
        <v>25</v>
      </c>
      <c r="B36" s="10" t="s">
        <v>26</v>
      </c>
      <c r="C36" s="10" t="s">
        <v>27</v>
      </c>
      <c r="D36" s="10" t="s">
        <v>28</v>
      </c>
      <c r="E36" s="10" t="s">
        <v>36</v>
      </c>
      <c r="F36" s="10" t="s">
        <v>30</v>
      </c>
    </row>
    <row r="37" spans="1:6" ht="15">
      <c r="A37" s="10">
        <v>1</v>
      </c>
      <c r="B37" s="7" t="s">
        <v>110</v>
      </c>
      <c r="C37" s="10" t="s">
        <v>185</v>
      </c>
      <c r="D37" s="10">
        <v>2263.5</v>
      </c>
      <c r="E37" s="46">
        <f>D37/12/$D$2</f>
        <v>1.7628504672897196</v>
      </c>
      <c r="F37" s="34">
        <v>2</v>
      </c>
    </row>
    <row r="38" spans="1:6" ht="15">
      <c r="A38" s="47"/>
      <c r="B38" s="47" t="s">
        <v>31</v>
      </c>
      <c r="C38" s="47"/>
      <c r="D38" s="48">
        <f>SUM(D37:D37)</f>
        <v>2263.5</v>
      </c>
      <c r="E38" s="49">
        <f>SUM(E37:E37)</f>
        <v>1.7628504672897196</v>
      </c>
      <c r="F38" s="47"/>
    </row>
    <row r="39" ht="8.25" customHeight="1"/>
    <row r="40" ht="6" customHeight="1"/>
    <row r="41" spans="1:6" ht="15">
      <c r="A41" s="2"/>
      <c r="B41" s="1" t="s">
        <v>186</v>
      </c>
      <c r="C41" s="4"/>
      <c r="D41" s="57">
        <v>44</v>
      </c>
      <c r="E41" s="5" t="s">
        <v>0</v>
      </c>
      <c r="F41" s="2"/>
    </row>
    <row r="42" spans="1:6" ht="6.75" customHeight="1">
      <c r="A42" s="2"/>
      <c r="B42" s="6"/>
      <c r="C42" s="2"/>
      <c r="D42" s="2"/>
      <c r="E42" s="2"/>
      <c r="F42" s="2"/>
    </row>
    <row r="43" spans="1:6" ht="28.5" customHeight="1">
      <c r="A43" s="88" t="s">
        <v>109</v>
      </c>
      <c r="B43" s="88"/>
      <c r="C43" s="88"/>
      <c r="D43" s="88"/>
      <c r="E43" s="88"/>
      <c r="F43" s="2"/>
    </row>
    <row r="44" spans="1:6" ht="6.75" customHeight="1">
      <c r="A44" s="1"/>
      <c r="B44" s="1"/>
      <c r="C44" s="1"/>
      <c r="D44" s="1"/>
      <c r="E44" s="1"/>
      <c r="F44" s="2"/>
    </row>
    <row r="45" spans="1:6" ht="85.5">
      <c r="A45" s="7"/>
      <c r="B45" s="8" t="s">
        <v>1</v>
      </c>
      <c r="C45" s="8" t="s">
        <v>2</v>
      </c>
      <c r="D45" s="8" t="s">
        <v>3</v>
      </c>
      <c r="E45" s="8" t="s">
        <v>4</v>
      </c>
      <c r="F45" s="2"/>
    </row>
    <row r="46" spans="1:7" ht="15">
      <c r="A46" s="90" t="s">
        <v>37</v>
      </c>
      <c r="B46" s="91"/>
      <c r="C46" s="92"/>
      <c r="D46" s="17">
        <f>SUM(D47:D48)</f>
        <v>269.1424876933134</v>
      </c>
      <c r="E46" s="17">
        <f>SUM(E47:E48)</f>
        <v>0.5097395600252147</v>
      </c>
      <c r="F46" s="20"/>
      <c r="G46" s="19"/>
    </row>
    <row r="47" spans="1:7" ht="15.75" customHeight="1">
      <c r="A47" s="12">
        <v>1</v>
      </c>
      <c r="B47" s="7" t="s">
        <v>11</v>
      </c>
      <c r="C47" s="14" t="s">
        <v>12</v>
      </c>
      <c r="D47" s="15">
        <f>E47*$D$41*12</f>
        <v>246.2419832509729</v>
      </c>
      <c r="E47" s="21">
        <v>0.466367392520782</v>
      </c>
      <c r="F47" s="18"/>
      <c r="G47" s="19"/>
    </row>
    <row r="48" spans="1:7" ht="30">
      <c r="A48" s="12">
        <v>2</v>
      </c>
      <c r="B48" s="13" t="s">
        <v>13</v>
      </c>
      <c r="C48" s="13" t="s">
        <v>14</v>
      </c>
      <c r="D48" s="15">
        <f>E48*$D$41*12</f>
        <v>22.900504442340466</v>
      </c>
      <c r="E48" s="21">
        <v>0.0433721675044327</v>
      </c>
      <c r="F48" s="18"/>
      <c r="G48" s="19"/>
    </row>
    <row r="49" spans="1:7" ht="29.25" customHeight="1">
      <c r="A49" s="90" t="s">
        <v>103</v>
      </c>
      <c r="B49" s="93"/>
      <c r="C49" s="94"/>
      <c r="D49" s="22">
        <f>SUM(D50:D50)</f>
        <v>17.493366012269508</v>
      </c>
      <c r="E49" s="22">
        <f>SUM(E50:E50)</f>
        <v>0.0331313750232377</v>
      </c>
      <c r="F49" s="18"/>
      <c r="G49" s="19"/>
    </row>
    <row r="50" spans="1:6" ht="63" customHeight="1">
      <c r="A50" s="12">
        <v>3</v>
      </c>
      <c r="B50" s="13" t="s">
        <v>38</v>
      </c>
      <c r="C50" s="13" t="s">
        <v>7</v>
      </c>
      <c r="D50" s="15">
        <f>E50*$D$41*12</f>
        <v>17.493366012269508</v>
      </c>
      <c r="E50" s="15">
        <v>0.0331313750232377</v>
      </c>
      <c r="F50" s="2"/>
    </row>
    <row r="51" spans="1:9" ht="15">
      <c r="A51" s="95" t="s">
        <v>39</v>
      </c>
      <c r="B51" s="96"/>
      <c r="C51" s="96"/>
      <c r="D51" s="11">
        <f>SUM(D52:D53)</f>
        <v>634.2061051150771</v>
      </c>
      <c r="E51" s="11">
        <f>SUM(E52:E53)</f>
        <v>1.201147926354313</v>
      </c>
      <c r="F51" s="2"/>
      <c r="G51" s="51"/>
      <c r="H51" s="51"/>
      <c r="I51" s="52"/>
    </row>
    <row r="52" spans="1:9" ht="61.5" customHeight="1">
      <c r="A52" s="12">
        <v>4</v>
      </c>
      <c r="B52" s="13" t="s">
        <v>43</v>
      </c>
      <c r="C52" s="13" t="s">
        <v>7</v>
      </c>
      <c r="D52" s="15">
        <f>E52*$D$41*12</f>
        <v>95.49864027453705</v>
      </c>
      <c r="E52" s="15">
        <f>0.0836268703481988+0.0972417665353941</f>
        <v>0.1808686368835929</v>
      </c>
      <c r="F52" s="2"/>
      <c r="G52" s="51"/>
      <c r="H52" s="51"/>
      <c r="I52" s="52"/>
    </row>
    <row r="53" spans="1:9" ht="75">
      <c r="A53" s="12">
        <v>5</v>
      </c>
      <c r="B53" s="13" t="s">
        <v>19</v>
      </c>
      <c r="C53" s="13" t="s">
        <v>40</v>
      </c>
      <c r="D53" s="15">
        <f>E53*$D$41*12</f>
        <v>538.7074648405401</v>
      </c>
      <c r="E53" s="21">
        <f>0.90775617487072+0.1125231146</f>
        <v>1.02027928947072</v>
      </c>
      <c r="F53" s="2"/>
      <c r="G53" s="54"/>
      <c r="H53" s="54"/>
      <c r="I53" s="54"/>
    </row>
    <row r="54" spans="1:9" ht="15">
      <c r="A54" s="95" t="s">
        <v>41</v>
      </c>
      <c r="B54" s="95"/>
      <c r="C54" s="95"/>
      <c r="D54" s="23">
        <f>SUM(D55)</f>
        <v>84.15582344073574</v>
      </c>
      <c r="E54" s="22">
        <f>SUM(E55)</f>
        <v>0.1593860292438177</v>
      </c>
      <c r="F54" s="2"/>
      <c r="G54" s="54"/>
      <c r="H54" s="54"/>
      <c r="I54" s="54"/>
    </row>
    <row r="55" spans="1:6" ht="15">
      <c r="A55" s="12">
        <v>6</v>
      </c>
      <c r="B55" s="13" t="s">
        <v>21</v>
      </c>
      <c r="C55" s="13" t="s">
        <v>22</v>
      </c>
      <c r="D55" s="15">
        <f>E55*$D$41*12</f>
        <v>84.15582344073574</v>
      </c>
      <c r="E55" s="21">
        <f>0.0209769383347267+0.138409090909091</f>
        <v>0.1593860292438177</v>
      </c>
      <c r="F55" s="2"/>
    </row>
    <row r="56" spans="1:6" ht="15">
      <c r="A56" s="8"/>
      <c r="B56" s="24" t="s">
        <v>24</v>
      </c>
      <c r="C56" s="24"/>
      <c r="D56" s="25">
        <f>D46+D49+D51+D54</f>
        <v>1004.9977822613957</v>
      </c>
      <c r="E56" s="17">
        <f>E46+E49+E51+E54</f>
        <v>1.903404890646583</v>
      </c>
      <c r="F56" s="5"/>
    </row>
    <row r="57" spans="1:6" ht="6.75" customHeight="1">
      <c r="A57" s="26"/>
      <c r="B57" s="27"/>
      <c r="C57" s="28"/>
      <c r="D57" s="29"/>
      <c r="E57" s="30"/>
      <c r="F57" s="2"/>
    </row>
    <row r="58" spans="1:6" ht="105">
      <c r="A58" s="10" t="s">
        <v>25</v>
      </c>
      <c r="B58" s="10" t="s">
        <v>26</v>
      </c>
      <c r="C58" s="10" t="s">
        <v>27</v>
      </c>
      <c r="D58" s="10" t="s">
        <v>28</v>
      </c>
      <c r="E58" s="10" t="s">
        <v>29</v>
      </c>
      <c r="F58" s="10" t="s">
        <v>30</v>
      </c>
    </row>
    <row r="59" spans="1:6" ht="15">
      <c r="A59" s="10">
        <v>1</v>
      </c>
      <c r="B59" s="7" t="s">
        <v>110</v>
      </c>
      <c r="C59" s="10" t="s">
        <v>46</v>
      </c>
      <c r="D59" s="10">
        <v>1006</v>
      </c>
      <c r="E59" s="33">
        <f>D59/12/$D$41</f>
        <v>1.9053030303030303</v>
      </c>
      <c r="F59" s="34">
        <v>2</v>
      </c>
    </row>
    <row r="60" spans="1:6" ht="15">
      <c r="A60" s="10"/>
      <c r="B60" s="36" t="s">
        <v>31</v>
      </c>
      <c r="C60" s="9"/>
      <c r="D60" s="37">
        <f>SUM(D59:D59)</f>
        <v>1006</v>
      </c>
      <c r="E60" s="38">
        <f>SUM(E59:E59)</f>
        <v>1.9053030303030303</v>
      </c>
      <c r="F60" s="39"/>
    </row>
    <row r="61" spans="1:6" ht="15">
      <c r="A61" s="26"/>
      <c r="B61" s="27"/>
      <c r="C61" s="40"/>
      <c r="D61" s="40"/>
      <c r="E61" s="40"/>
      <c r="F61" s="40"/>
    </row>
    <row r="62" spans="1:6" ht="29.25">
      <c r="A62" s="26"/>
      <c r="B62" s="27" t="s">
        <v>32</v>
      </c>
      <c r="C62" s="41">
        <f>D56+D60</f>
        <v>2010.9977822613957</v>
      </c>
      <c r="D62" s="41"/>
      <c r="E62" s="41"/>
      <c r="F62" s="40"/>
    </row>
    <row r="63" spans="1:6" ht="15">
      <c r="A63" s="26"/>
      <c r="B63" s="27" t="s">
        <v>33</v>
      </c>
      <c r="C63" s="42">
        <f>E56+E60</f>
        <v>3.8087079209496135</v>
      </c>
      <c r="D63" s="40"/>
      <c r="E63" s="40"/>
      <c r="F63" s="40"/>
    </row>
    <row r="64" spans="1:6" ht="3" customHeight="1">
      <c r="A64" s="26"/>
      <c r="B64" s="27"/>
      <c r="C64" s="42"/>
      <c r="D64" s="40"/>
      <c r="E64" s="40"/>
      <c r="F64" s="40"/>
    </row>
    <row r="65" spans="1:6" ht="33" customHeight="1">
      <c r="A65" s="88" t="s">
        <v>111</v>
      </c>
      <c r="B65" s="88"/>
      <c r="C65" s="88"/>
      <c r="D65" s="88"/>
      <c r="E65" s="88"/>
      <c r="F65" s="88"/>
    </row>
    <row r="66" spans="1:6" ht="4.5" customHeight="1">
      <c r="A66" s="1"/>
      <c r="B66" s="1"/>
      <c r="C66" s="1"/>
      <c r="D66" s="2"/>
      <c r="E66" s="2"/>
      <c r="F66" s="2"/>
    </row>
    <row r="67" spans="1:6" ht="85.5">
      <c r="A67" s="7"/>
      <c r="B67" s="8" t="s">
        <v>1</v>
      </c>
      <c r="C67" s="8" t="s">
        <v>2</v>
      </c>
      <c r="D67" s="8" t="s">
        <v>3</v>
      </c>
      <c r="E67" s="8" t="s">
        <v>4</v>
      </c>
      <c r="F67" s="2"/>
    </row>
    <row r="68" spans="1:5" ht="30" customHeight="1">
      <c r="A68" s="89" t="s">
        <v>123</v>
      </c>
      <c r="B68" s="89"/>
      <c r="C68" s="89"/>
      <c r="D68" s="17">
        <f>D69</f>
        <v>5.28</v>
      </c>
      <c r="E68" s="17">
        <f>E69</f>
        <v>0.01</v>
      </c>
    </row>
    <row r="69" spans="1:5" ht="30">
      <c r="A69" s="12" t="s">
        <v>5</v>
      </c>
      <c r="B69" s="43" t="s">
        <v>35</v>
      </c>
      <c r="C69" s="43" t="s">
        <v>42</v>
      </c>
      <c r="D69" s="15">
        <f>E69*$D$41*12</f>
        <v>5.28</v>
      </c>
      <c r="E69" s="44">
        <v>0.01</v>
      </c>
    </row>
    <row r="70" spans="1:5" ht="30" customHeight="1">
      <c r="A70" s="89" t="s">
        <v>102</v>
      </c>
      <c r="B70" s="89"/>
      <c r="C70" s="89"/>
      <c r="D70" s="17">
        <f>D71</f>
        <v>31.679999999999996</v>
      </c>
      <c r="E70" s="17">
        <f>E71</f>
        <v>0.06</v>
      </c>
    </row>
    <row r="71" spans="1:5" ht="15">
      <c r="A71" s="12" t="s">
        <v>34</v>
      </c>
      <c r="B71" s="45" t="s">
        <v>9</v>
      </c>
      <c r="C71" s="7" t="s">
        <v>42</v>
      </c>
      <c r="D71" s="15">
        <f>E71*$D$41*12</f>
        <v>31.679999999999996</v>
      </c>
      <c r="E71" s="16">
        <v>0.06</v>
      </c>
    </row>
    <row r="72" spans="1:6" ht="15">
      <c r="A72" s="8"/>
      <c r="B72" s="24" t="s">
        <v>24</v>
      </c>
      <c r="C72" s="24"/>
      <c r="D72" s="25">
        <f>D68+D70</f>
        <v>36.959999999999994</v>
      </c>
      <c r="E72" s="17">
        <f>E68+E70</f>
        <v>0.06999999999999999</v>
      </c>
      <c r="F72" s="5"/>
    </row>
    <row r="73" spans="1:6" ht="6.75" customHeight="1">
      <c r="A73" s="2"/>
      <c r="B73" s="2"/>
      <c r="C73" s="2"/>
      <c r="D73" s="2"/>
      <c r="E73" s="2"/>
      <c r="F73" s="2"/>
    </row>
    <row r="74" spans="1:6" ht="5.25" customHeight="1">
      <c r="A74" s="31"/>
      <c r="B74" s="31"/>
      <c r="C74" s="31"/>
      <c r="D74" s="31"/>
      <c r="E74" s="31"/>
      <c r="F74" s="32"/>
    </row>
    <row r="75" spans="1:6" ht="105">
      <c r="A75" s="10" t="s">
        <v>25</v>
      </c>
      <c r="B75" s="10" t="s">
        <v>26</v>
      </c>
      <c r="C75" s="10" t="s">
        <v>27</v>
      </c>
      <c r="D75" s="10" t="s">
        <v>28</v>
      </c>
      <c r="E75" s="10" t="s">
        <v>36</v>
      </c>
      <c r="F75" s="10" t="s">
        <v>30</v>
      </c>
    </row>
    <row r="76" spans="1:6" ht="15">
      <c r="A76" s="10">
        <v>1</v>
      </c>
      <c r="B76" s="7" t="s">
        <v>110</v>
      </c>
      <c r="C76" s="10" t="s">
        <v>46</v>
      </c>
      <c r="D76" s="10">
        <v>1006</v>
      </c>
      <c r="E76" s="33">
        <f>D76/12/$D$41</f>
        <v>1.9053030303030303</v>
      </c>
      <c r="F76" s="34">
        <v>2</v>
      </c>
    </row>
    <row r="77" spans="1:6" ht="15">
      <c r="A77" s="47"/>
      <c r="B77" s="47" t="s">
        <v>31</v>
      </c>
      <c r="C77" s="47"/>
      <c r="D77" s="48">
        <f>SUM(D76:D76)</f>
        <v>1006</v>
      </c>
      <c r="E77" s="49">
        <f>SUM(E76:E76)</f>
        <v>1.9053030303030303</v>
      </c>
      <c r="F77" s="47"/>
    </row>
    <row r="78" ht="9" customHeight="1"/>
    <row r="79" ht="7.5" customHeight="1"/>
    <row r="80" spans="2:3" ht="43.5">
      <c r="B80" s="27" t="s">
        <v>86</v>
      </c>
      <c r="C80" s="58">
        <f>C23+C62</f>
        <v>6470.557781099231</v>
      </c>
    </row>
  </sheetData>
  <mergeCells count="16">
    <mergeCell ref="A4:E4"/>
    <mergeCell ref="A7:C7"/>
    <mergeCell ref="A10:C10"/>
    <mergeCell ref="A43:E43"/>
    <mergeCell ref="A12:C12"/>
    <mergeCell ref="A31:C31"/>
    <mergeCell ref="A15:C15"/>
    <mergeCell ref="A26:F26"/>
    <mergeCell ref="A29:C29"/>
    <mergeCell ref="A65:F65"/>
    <mergeCell ref="A68:C68"/>
    <mergeCell ref="A70:C70"/>
    <mergeCell ref="A46:C46"/>
    <mergeCell ref="A49:C49"/>
    <mergeCell ref="A51:C51"/>
    <mergeCell ref="A54:C54"/>
  </mergeCells>
  <printOptions/>
  <pageMargins left="0.7874015748031497" right="0.2362204724409449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">
      <selection activeCell="D2" sqref="D2"/>
    </sheetView>
  </sheetViews>
  <sheetFormatPr defaultColWidth="9.140625" defaultRowHeight="12.75"/>
  <cols>
    <col min="1" max="1" width="3.421875" style="3" customWidth="1"/>
    <col min="2" max="2" width="40.8515625" style="3" customWidth="1"/>
    <col min="3" max="3" width="17.421875" style="3" customWidth="1"/>
    <col min="4" max="4" width="11.28125" style="3" customWidth="1"/>
    <col min="5" max="5" width="11.8515625" style="3" customWidth="1"/>
    <col min="6" max="6" width="8.57421875" style="3" customWidth="1"/>
    <col min="7" max="16384" width="9.140625" style="3" customWidth="1"/>
  </cols>
  <sheetData>
    <row r="1" ht="15">
      <c r="B1" s="56" t="s">
        <v>187</v>
      </c>
    </row>
    <row r="2" spans="1:6" ht="24" customHeight="1">
      <c r="A2" s="2"/>
      <c r="B2" s="1" t="s">
        <v>188</v>
      </c>
      <c r="C2" s="4"/>
      <c r="D2" s="57">
        <v>74</v>
      </c>
      <c r="E2" s="5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40.5" customHeight="1">
      <c r="A4" s="88" t="s">
        <v>109</v>
      </c>
      <c r="B4" s="88"/>
      <c r="C4" s="88"/>
      <c r="D4" s="88"/>
      <c r="E4" s="88"/>
      <c r="F4" s="2"/>
    </row>
    <row r="5" spans="1:6" ht="15">
      <c r="A5" s="1"/>
      <c r="B5" s="1"/>
      <c r="C5" s="1"/>
      <c r="D5" s="1"/>
      <c r="E5" s="1"/>
      <c r="F5" s="2"/>
    </row>
    <row r="6" spans="1:6" ht="85.5">
      <c r="A6" s="7"/>
      <c r="B6" s="8" t="s">
        <v>1</v>
      </c>
      <c r="C6" s="8" t="s">
        <v>2</v>
      </c>
      <c r="D6" s="8" t="s">
        <v>3</v>
      </c>
      <c r="E6" s="8" t="s">
        <v>4</v>
      </c>
      <c r="F6" s="2"/>
    </row>
    <row r="7" spans="1:7" ht="15">
      <c r="A7" s="90" t="s">
        <v>37</v>
      </c>
      <c r="B7" s="91"/>
      <c r="C7" s="92"/>
      <c r="D7" s="17">
        <f>SUM(D8:D9)</f>
        <v>538.2849753866266</v>
      </c>
      <c r="E7" s="17">
        <f>SUM(E8:E9)</f>
        <v>0.6061767740840389</v>
      </c>
      <c r="F7" s="20"/>
      <c r="G7" s="19"/>
    </row>
    <row r="8" spans="1:7" ht="15.75" customHeight="1">
      <c r="A8" s="12">
        <v>1</v>
      </c>
      <c r="B8" s="7" t="s">
        <v>11</v>
      </c>
      <c r="C8" s="14" t="s">
        <v>12</v>
      </c>
      <c r="D8" s="15">
        <f>E8*$D$2*12</f>
        <v>492.4839665019457</v>
      </c>
      <c r="E8" s="21">
        <v>0.554599061376065</v>
      </c>
      <c r="F8" s="18"/>
      <c r="G8" s="19"/>
    </row>
    <row r="9" spans="1:7" ht="30">
      <c r="A9" s="12">
        <v>2</v>
      </c>
      <c r="B9" s="13" t="s">
        <v>13</v>
      </c>
      <c r="C9" s="13" t="s">
        <v>14</v>
      </c>
      <c r="D9" s="15">
        <f>E9*$D$2*12</f>
        <v>45.80100888468091</v>
      </c>
      <c r="E9" s="21">
        <v>0.051577712707974</v>
      </c>
      <c r="F9" s="18"/>
      <c r="G9" s="19"/>
    </row>
    <row r="10" spans="1:7" ht="29.25" customHeight="1">
      <c r="A10" s="90" t="s">
        <v>103</v>
      </c>
      <c r="B10" s="93"/>
      <c r="C10" s="94"/>
      <c r="D10" s="22">
        <f>SUM(D11:D11)</f>
        <v>17.493366012269504</v>
      </c>
      <c r="E10" s="22">
        <f>SUM(E11:E11)</f>
        <v>0.0196997365003035</v>
      </c>
      <c r="F10" s="18"/>
      <c r="G10" s="19"/>
    </row>
    <row r="11" spans="1:6" ht="75" customHeight="1">
      <c r="A11" s="12">
        <v>3</v>
      </c>
      <c r="B11" s="13" t="s">
        <v>38</v>
      </c>
      <c r="C11" s="13" t="s">
        <v>7</v>
      </c>
      <c r="D11" s="15">
        <f>E11*12*$D$2</f>
        <v>17.493366012269504</v>
      </c>
      <c r="E11" s="15">
        <v>0.0196997365003035</v>
      </c>
      <c r="F11" s="2"/>
    </row>
    <row r="12" spans="1:9" ht="15">
      <c r="A12" s="95" t="s">
        <v>39</v>
      </c>
      <c r="B12" s="96"/>
      <c r="C12" s="96"/>
      <c r="D12" s="11">
        <f>SUM(D13:D14)</f>
        <v>1066.6193586026309</v>
      </c>
      <c r="E12" s="11">
        <f>SUM(E13:E14)</f>
        <v>1.2011479263543139</v>
      </c>
      <c r="F12" s="2"/>
      <c r="G12" s="51"/>
      <c r="H12" s="51"/>
      <c r="I12" s="52"/>
    </row>
    <row r="13" spans="1:9" ht="61.5" customHeight="1">
      <c r="A13" s="12">
        <v>4</v>
      </c>
      <c r="B13" s="13" t="s">
        <v>43</v>
      </c>
      <c r="C13" s="13" t="s">
        <v>7</v>
      </c>
      <c r="D13" s="15">
        <f>E13*12*$D$2</f>
        <v>160.6113495526304</v>
      </c>
      <c r="E13" s="15">
        <f>0.0836268703481988+0.097241766535394</f>
        <v>0.18086863688359278</v>
      </c>
      <c r="F13" s="2"/>
      <c r="G13" s="51"/>
      <c r="H13" s="51"/>
      <c r="I13" s="52"/>
    </row>
    <row r="14" spans="1:9" ht="75">
      <c r="A14" s="12">
        <v>5</v>
      </c>
      <c r="B14" s="13" t="s">
        <v>19</v>
      </c>
      <c r="C14" s="13" t="s">
        <v>40</v>
      </c>
      <c r="D14" s="15">
        <f>E14*12*$D$2</f>
        <v>906.0080090500004</v>
      </c>
      <c r="E14" s="21">
        <f>0.907756174870721+0.1125231146</f>
        <v>1.020279289470721</v>
      </c>
      <c r="F14" s="2"/>
      <c r="G14" s="54"/>
      <c r="H14" s="54"/>
      <c r="I14" s="54"/>
    </row>
    <row r="15" spans="1:9" ht="15">
      <c r="A15" s="95" t="s">
        <v>41</v>
      </c>
      <c r="B15" s="95"/>
      <c r="C15" s="95"/>
      <c r="D15" s="23">
        <f>SUM(D16)</f>
        <v>92.88914091430551</v>
      </c>
      <c r="E15" s="22">
        <f>SUM(E16)</f>
        <v>0.10460488841701071</v>
      </c>
      <c r="F15" s="2"/>
      <c r="G15" s="54"/>
      <c r="H15" s="54"/>
      <c r="I15" s="54"/>
    </row>
    <row r="16" spans="1:6" ht="15">
      <c r="A16" s="12">
        <v>6</v>
      </c>
      <c r="B16" s="13" t="s">
        <v>21</v>
      </c>
      <c r="C16" s="13" t="s">
        <v>22</v>
      </c>
      <c r="D16" s="15">
        <f>E16*12*$D$2</f>
        <v>92.88914091430551</v>
      </c>
      <c r="E16" s="21">
        <f>0.0223075911197134+0.0822972972972973</f>
        <v>0.10460488841701071</v>
      </c>
      <c r="F16" s="2"/>
    </row>
    <row r="17" spans="1:6" ht="15">
      <c r="A17" s="8"/>
      <c r="B17" s="24" t="s">
        <v>24</v>
      </c>
      <c r="C17" s="24"/>
      <c r="D17" s="25">
        <f>D7+D10+D12+D15</f>
        <v>1715.2868409158325</v>
      </c>
      <c r="E17" s="17">
        <f>E7+E10+E12+E15</f>
        <v>1.9316293253556671</v>
      </c>
      <c r="F17" s="5"/>
    </row>
    <row r="18" spans="1:6" ht="15">
      <c r="A18" s="26"/>
      <c r="B18" s="27"/>
      <c r="C18" s="28"/>
      <c r="D18" s="29"/>
      <c r="E18" s="30"/>
      <c r="F18" s="2"/>
    </row>
    <row r="19" spans="1:6" ht="105">
      <c r="A19" s="10" t="s">
        <v>25</v>
      </c>
      <c r="B19" s="10" t="s">
        <v>26</v>
      </c>
      <c r="C19" s="10" t="s">
        <v>27</v>
      </c>
      <c r="D19" s="10" t="s">
        <v>28</v>
      </c>
      <c r="E19" s="10" t="s">
        <v>29</v>
      </c>
      <c r="F19" s="10" t="s">
        <v>30</v>
      </c>
    </row>
    <row r="20" spans="1:6" ht="15">
      <c r="A20" s="10">
        <v>1</v>
      </c>
      <c r="B20" s="7" t="s">
        <v>110</v>
      </c>
      <c r="C20" s="10" t="s">
        <v>47</v>
      </c>
      <c r="D20" s="10">
        <v>1509</v>
      </c>
      <c r="E20" s="33">
        <f>D20/12/$D$2</f>
        <v>1.6993243243243243</v>
      </c>
      <c r="F20" s="34">
        <v>2</v>
      </c>
    </row>
    <row r="21" spans="1:6" ht="15">
      <c r="A21" s="10"/>
      <c r="B21" s="36" t="s">
        <v>31</v>
      </c>
      <c r="C21" s="9"/>
      <c r="D21" s="37">
        <f>SUM(D20:D20)</f>
        <v>1509</v>
      </c>
      <c r="E21" s="38">
        <f>SUM(E20:E20)</f>
        <v>1.6993243243243243</v>
      </c>
      <c r="F21" s="39"/>
    </row>
    <row r="22" spans="1:6" ht="15">
      <c r="A22" s="26"/>
      <c r="B22" s="27"/>
      <c r="C22" s="40"/>
      <c r="D22" s="40"/>
      <c r="E22" s="40"/>
      <c r="F22" s="40"/>
    </row>
    <row r="23" spans="1:6" ht="29.25">
      <c r="A23" s="26"/>
      <c r="B23" s="27" t="s">
        <v>32</v>
      </c>
      <c r="C23" s="41">
        <f>D17+D21</f>
        <v>3224.2868409158327</v>
      </c>
      <c r="D23" s="41"/>
      <c r="E23" s="41"/>
      <c r="F23" s="40"/>
    </row>
    <row r="24" spans="1:6" ht="15">
      <c r="A24" s="26"/>
      <c r="B24" s="27" t="s">
        <v>33</v>
      </c>
      <c r="C24" s="42">
        <f>E17+E21</f>
        <v>3.6309536496799915</v>
      </c>
      <c r="D24" s="40"/>
      <c r="E24" s="40"/>
      <c r="F24" s="40"/>
    </row>
    <row r="25" spans="1:6" ht="3" customHeight="1">
      <c r="A25" s="26"/>
      <c r="B25" s="27"/>
      <c r="C25" s="42"/>
      <c r="D25" s="40"/>
      <c r="E25" s="40"/>
      <c r="F25" s="40"/>
    </row>
    <row r="26" spans="1:6" ht="30" customHeight="1">
      <c r="A26" s="88" t="s">
        <v>111</v>
      </c>
      <c r="B26" s="88"/>
      <c r="C26" s="88"/>
      <c r="D26" s="88"/>
      <c r="E26" s="88"/>
      <c r="F26" s="88"/>
    </row>
    <row r="27" spans="1:6" ht="6" customHeight="1">
      <c r="A27" s="1"/>
      <c r="B27" s="1"/>
      <c r="C27" s="1"/>
      <c r="D27" s="2"/>
      <c r="E27" s="2"/>
      <c r="F27" s="2"/>
    </row>
    <row r="28" spans="1:6" ht="85.5">
      <c r="A28" s="7"/>
      <c r="B28" s="8" t="s">
        <v>1</v>
      </c>
      <c r="C28" s="8" t="s">
        <v>2</v>
      </c>
      <c r="D28" s="8" t="s">
        <v>3</v>
      </c>
      <c r="E28" s="8" t="s">
        <v>4</v>
      </c>
      <c r="F28" s="2"/>
    </row>
    <row r="29" spans="1:5" ht="30" customHeight="1">
      <c r="A29" s="89" t="s">
        <v>123</v>
      </c>
      <c r="B29" s="89"/>
      <c r="C29" s="89"/>
      <c r="D29" s="17">
        <f>D30</f>
        <v>8.879999999999999</v>
      </c>
      <c r="E29" s="17">
        <f>E30</f>
        <v>0.01</v>
      </c>
    </row>
    <row r="30" spans="1:5" ht="30">
      <c r="A30" s="12" t="s">
        <v>5</v>
      </c>
      <c r="B30" s="43" t="s">
        <v>35</v>
      </c>
      <c r="C30" s="43" t="s">
        <v>42</v>
      </c>
      <c r="D30" s="15">
        <f>E30*12*$D$2</f>
        <v>8.879999999999999</v>
      </c>
      <c r="E30" s="44">
        <v>0.01</v>
      </c>
    </row>
    <row r="31" spans="1:5" ht="30" customHeight="1">
      <c r="A31" s="89" t="s">
        <v>102</v>
      </c>
      <c r="B31" s="89"/>
      <c r="C31" s="89"/>
      <c r="D31" s="17">
        <f>D32</f>
        <v>53.279999999999994</v>
      </c>
      <c r="E31" s="17">
        <f>E32</f>
        <v>0.06</v>
      </c>
    </row>
    <row r="32" spans="1:5" ht="15">
      <c r="A32" s="12" t="s">
        <v>34</v>
      </c>
      <c r="B32" s="45" t="s">
        <v>9</v>
      </c>
      <c r="C32" s="7" t="s">
        <v>42</v>
      </c>
      <c r="D32" s="15">
        <f>E32*$D$2*12</f>
        <v>53.279999999999994</v>
      </c>
      <c r="E32" s="16">
        <v>0.06</v>
      </c>
    </row>
    <row r="33" spans="1:6" ht="15">
      <c r="A33" s="8"/>
      <c r="B33" s="24" t="s">
        <v>24</v>
      </c>
      <c r="C33" s="24"/>
      <c r="D33" s="25">
        <f>D29+D31</f>
        <v>62.16</v>
      </c>
      <c r="E33" s="17">
        <f>E29+E31</f>
        <v>0.06999999999999999</v>
      </c>
      <c r="F33" s="5"/>
    </row>
    <row r="34" spans="1:6" ht="5.25" customHeight="1">
      <c r="A34" s="2"/>
      <c r="B34" s="2"/>
      <c r="C34" s="2"/>
      <c r="D34" s="2"/>
      <c r="E34" s="2"/>
      <c r="F34" s="2"/>
    </row>
    <row r="35" spans="1:6" ht="4.5" customHeight="1">
      <c r="A35" s="31"/>
      <c r="B35" s="31"/>
      <c r="C35" s="31"/>
      <c r="D35" s="31"/>
      <c r="E35" s="31"/>
      <c r="F35" s="32"/>
    </row>
    <row r="36" spans="1:6" ht="105">
      <c r="A36" s="10" t="s">
        <v>25</v>
      </c>
      <c r="B36" s="10" t="s">
        <v>26</v>
      </c>
      <c r="C36" s="10" t="s">
        <v>27</v>
      </c>
      <c r="D36" s="10" t="s">
        <v>28</v>
      </c>
      <c r="E36" s="10" t="s">
        <v>36</v>
      </c>
      <c r="F36" s="10" t="s">
        <v>30</v>
      </c>
    </row>
    <row r="37" spans="1:6" ht="15">
      <c r="A37" s="10">
        <v>1</v>
      </c>
      <c r="B37" s="7" t="s">
        <v>110</v>
      </c>
      <c r="C37" s="10" t="s">
        <v>47</v>
      </c>
      <c r="D37" s="10">
        <v>1509</v>
      </c>
      <c r="E37" s="46">
        <f>D37/12/$D$2</f>
        <v>1.6993243243243243</v>
      </c>
      <c r="F37" s="34">
        <v>2</v>
      </c>
    </row>
    <row r="38" spans="1:6" ht="15">
      <c r="A38" s="47"/>
      <c r="B38" s="47" t="s">
        <v>31</v>
      </c>
      <c r="C38" s="47"/>
      <c r="D38" s="48">
        <f>SUM(D37:D37)</f>
        <v>1509</v>
      </c>
      <c r="E38" s="49">
        <f>SUM(E37:E37)</f>
        <v>1.6993243243243243</v>
      </c>
      <c r="F38" s="47"/>
    </row>
    <row r="39" ht="8.25" customHeight="1"/>
    <row r="40" ht="6" customHeight="1"/>
    <row r="41" spans="1:6" ht="15">
      <c r="A41" s="2"/>
      <c r="B41" s="1" t="s">
        <v>189</v>
      </c>
      <c r="C41" s="4"/>
      <c r="D41" s="50">
        <v>70.6</v>
      </c>
      <c r="E41" s="5" t="s">
        <v>0</v>
      </c>
      <c r="F41" s="2"/>
    </row>
    <row r="42" spans="1:6" ht="6.75" customHeight="1">
      <c r="A42" s="2"/>
      <c r="B42" s="6"/>
      <c r="C42" s="2"/>
      <c r="D42" s="2"/>
      <c r="E42" s="2"/>
      <c r="F42" s="2"/>
    </row>
    <row r="43" spans="1:6" ht="28.5" customHeight="1">
      <c r="A43" s="88" t="s">
        <v>109</v>
      </c>
      <c r="B43" s="88"/>
      <c r="C43" s="88"/>
      <c r="D43" s="88"/>
      <c r="E43" s="88"/>
      <c r="F43" s="2"/>
    </row>
    <row r="44" spans="1:6" ht="6.75" customHeight="1">
      <c r="A44" s="1"/>
      <c r="B44" s="1"/>
      <c r="C44" s="1"/>
      <c r="D44" s="1"/>
      <c r="E44" s="1"/>
      <c r="F44" s="2"/>
    </row>
    <row r="45" spans="1:6" ht="85.5">
      <c r="A45" s="7"/>
      <c r="B45" s="8" t="s">
        <v>1</v>
      </c>
      <c r="C45" s="8" t="s">
        <v>2</v>
      </c>
      <c r="D45" s="8" t="s">
        <v>3</v>
      </c>
      <c r="E45" s="8" t="s">
        <v>4</v>
      </c>
      <c r="F45" s="2"/>
    </row>
    <row r="46" spans="1:7" ht="15">
      <c r="A46" s="90" t="s">
        <v>37</v>
      </c>
      <c r="B46" s="91"/>
      <c r="C46" s="92"/>
      <c r="D46" s="17">
        <f>SUM(D47:D48)</f>
        <v>269.14248769331374</v>
      </c>
      <c r="E46" s="17">
        <f>SUM(E47:E48)</f>
        <v>0.3176847116304459</v>
      </c>
      <c r="F46" s="20"/>
      <c r="G46" s="19"/>
    </row>
    <row r="47" spans="1:7" ht="15.75" customHeight="1">
      <c r="A47" s="12">
        <v>1</v>
      </c>
      <c r="B47" s="7" t="s">
        <v>11</v>
      </c>
      <c r="C47" s="14" t="s">
        <v>12</v>
      </c>
      <c r="D47" s="15">
        <f>E47*$D$41*12</f>
        <v>246.24198325097328</v>
      </c>
      <c r="E47" s="21">
        <v>0.290653899021451</v>
      </c>
      <c r="F47" s="18"/>
      <c r="G47" s="19"/>
    </row>
    <row r="48" spans="1:7" ht="30">
      <c r="A48" s="12">
        <v>2</v>
      </c>
      <c r="B48" s="13" t="s">
        <v>13</v>
      </c>
      <c r="C48" s="13" t="s">
        <v>14</v>
      </c>
      <c r="D48" s="15">
        <f>E48*$D$41*12</f>
        <v>22.900504442340477</v>
      </c>
      <c r="E48" s="21">
        <v>0.0270308126089949</v>
      </c>
      <c r="F48" s="18"/>
      <c r="G48" s="19"/>
    </row>
    <row r="49" spans="1:7" ht="29.25" customHeight="1">
      <c r="A49" s="90" t="s">
        <v>103</v>
      </c>
      <c r="B49" s="93"/>
      <c r="C49" s="94"/>
      <c r="D49" s="22">
        <f>SUM(D50:D50)</f>
        <v>17.493366012269497</v>
      </c>
      <c r="E49" s="22">
        <f>SUM(E50:E50)</f>
        <v>0.020648449022981</v>
      </c>
      <c r="F49" s="18"/>
      <c r="G49" s="19"/>
    </row>
    <row r="50" spans="1:6" ht="63" customHeight="1">
      <c r="A50" s="12">
        <v>3</v>
      </c>
      <c r="B50" s="13" t="s">
        <v>38</v>
      </c>
      <c r="C50" s="13" t="s">
        <v>7</v>
      </c>
      <c r="D50" s="15">
        <f>E50*$D$41*12</f>
        <v>17.493366012269497</v>
      </c>
      <c r="E50" s="15">
        <v>0.020648449022981</v>
      </c>
      <c r="F50" s="2"/>
    </row>
    <row r="51" spans="1:9" ht="15">
      <c r="A51" s="95" t="s">
        <v>39</v>
      </c>
      <c r="B51" s="96"/>
      <c r="C51" s="96"/>
      <c r="D51" s="11">
        <f>SUM(D52:D53)</f>
        <v>1017.6125232073747</v>
      </c>
      <c r="E51" s="11">
        <f>SUM(E52:E53)</f>
        <v>1.2011479263543139</v>
      </c>
      <c r="F51" s="2"/>
      <c r="G51" s="51"/>
      <c r="H51" s="51"/>
      <c r="I51" s="52"/>
    </row>
    <row r="52" spans="1:9" ht="61.5" customHeight="1">
      <c r="A52" s="12">
        <v>4</v>
      </c>
      <c r="B52" s="13" t="s">
        <v>43</v>
      </c>
      <c r="C52" s="13" t="s">
        <v>7</v>
      </c>
      <c r="D52" s="15">
        <f>E52*$D$41*12</f>
        <v>153.2319091677798</v>
      </c>
      <c r="E52" s="15">
        <f>0.0836268703481988+0.097241766535394</f>
        <v>0.18086863688359278</v>
      </c>
      <c r="F52" s="2"/>
      <c r="G52" s="51"/>
      <c r="H52" s="51"/>
      <c r="I52" s="52"/>
    </row>
    <row r="53" spans="1:9" ht="75">
      <c r="A53" s="12">
        <v>5</v>
      </c>
      <c r="B53" s="13" t="s">
        <v>19</v>
      </c>
      <c r="C53" s="13" t="s">
        <v>40</v>
      </c>
      <c r="D53" s="15">
        <f>E53*$D$41*12</f>
        <v>864.3806140395949</v>
      </c>
      <c r="E53" s="21">
        <f>0.907756174870721+0.1125231146</f>
        <v>1.020279289470721</v>
      </c>
      <c r="F53" s="2"/>
      <c r="G53" s="54"/>
      <c r="H53" s="54"/>
      <c r="I53" s="54"/>
    </row>
    <row r="54" spans="1:9" ht="15">
      <c r="A54" s="95" t="s">
        <v>41</v>
      </c>
      <c r="B54" s="95"/>
      <c r="C54" s="95"/>
      <c r="D54" s="23">
        <f>SUM(D55)</f>
        <v>88.18913605240127</v>
      </c>
      <c r="E54" s="22">
        <f>SUM(E55)</f>
        <v>0.1040948253687456</v>
      </c>
      <c r="F54" s="2"/>
      <c r="G54" s="54"/>
      <c r="H54" s="54"/>
      <c r="I54" s="54"/>
    </row>
    <row r="55" spans="1:6" ht="15">
      <c r="A55" s="12">
        <v>6</v>
      </c>
      <c r="B55" s="13" t="s">
        <v>21</v>
      </c>
      <c r="C55" s="13" t="s">
        <v>22</v>
      </c>
      <c r="D55" s="15">
        <f>E55*$D$41*12</f>
        <v>88.18913605240127</v>
      </c>
      <c r="E55" s="21">
        <f>0.0178342021392838+0.0862606232294618</f>
        <v>0.1040948253687456</v>
      </c>
      <c r="F55" s="2"/>
    </row>
    <row r="56" spans="1:6" ht="15">
      <c r="A56" s="8"/>
      <c r="B56" s="24" t="s">
        <v>24</v>
      </c>
      <c r="C56" s="24"/>
      <c r="D56" s="25">
        <f>D46+D49+D51+D54</f>
        <v>1392.4375129653592</v>
      </c>
      <c r="E56" s="17">
        <f>E46+E49+E51+E54</f>
        <v>1.6435759123764866</v>
      </c>
      <c r="F56" s="5"/>
    </row>
    <row r="57" spans="1:6" ht="6.75" customHeight="1">
      <c r="A57" s="26"/>
      <c r="B57" s="27"/>
      <c r="C57" s="28"/>
      <c r="D57" s="29"/>
      <c r="E57" s="30"/>
      <c r="F57" s="2"/>
    </row>
    <row r="58" spans="1:6" ht="105">
      <c r="A58" s="10" t="s">
        <v>25</v>
      </c>
      <c r="B58" s="10" t="s">
        <v>26</v>
      </c>
      <c r="C58" s="10" t="s">
        <v>27</v>
      </c>
      <c r="D58" s="10" t="s">
        <v>28</v>
      </c>
      <c r="E58" s="10" t="s">
        <v>29</v>
      </c>
      <c r="F58" s="10" t="s">
        <v>30</v>
      </c>
    </row>
    <row r="59" spans="1:6" ht="15">
      <c r="A59" s="10">
        <v>1</v>
      </c>
      <c r="B59" s="7" t="s">
        <v>110</v>
      </c>
      <c r="C59" s="10" t="s">
        <v>47</v>
      </c>
      <c r="D59" s="10">
        <v>1509</v>
      </c>
      <c r="E59" s="33">
        <f>D59/12/$D$41</f>
        <v>1.781161473087819</v>
      </c>
      <c r="F59" s="34">
        <v>2</v>
      </c>
    </row>
    <row r="60" spans="1:6" ht="15">
      <c r="A60" s="10"/>
      <c r="B60" s="36" t="s">
        <v>31</v>
      </c>
      <c r="C60" s="9"/>
      <c r="D60" s="37">
        <f>SUM(D59:D59)</f>
        <v>1509</v>
      </c>
      <c r="E60" s="38">
        <f>SUM(E59:E59)</f>
        <v>1.781161473087819</v>
      </c>
      <c r="F60" s="39"/>
    </row>
    <row r="61" spans="1:6" ht="15">
      <c r="A61" s="26"/>
      <c r="B61" s="27"/>
      <c r="C61" s="40"/>
      <c r="D61" s="40"/>
      <c r="E61" s="40"/>
      <c r="F61" s="40"/>
    </row>
    <row r="62" spans="1:6" ht="29.25">
      <c r="A62" s="26"/>
      <c r="B62" s="27" t="s">
        <v>32</v>
      </c>
      <c r="C62" s="41">
        <f>D56+D60</f>
        <v>2901.437512965359</v>
      </c>
      <c r="D62" s="41"/>
      <c r="E62" s="41"/>
      <c r="F62" s="40"/>
    </row>
    <row r="63" spans="1:6" ht="15">
      <c r="A63" s="26"/>
      <c r="B63" s="27" t="s">
        <v>33</v>
      </c>
      <c r="C63" s="42">
        <f>E56+E60</f>
        <v>3.4247373854643053</v>
      </c>
      <c r="D63" s="40"/>
      <c r="E63" s="40"/>
      <c r="F63" s="40"/>
    </row>
    <row r="64" spans="1:6" ht="3" customHeight="1">
      <c r="A64" s="26"/>
      <c r="B64" s="27"/>
      <c r="C64" s="42"/>
      <c r="D64" s="40"/>
      <c r="E64" s="40"/>
      <c r="F64" s="40"/>
    </row>
    <row r="65" spans="1:6" ht="33" customHeight="1">
      <c r="A65" s="88" t="s">
        <v>111</v>
      </c>
      <c r="B65" s="88"/>
      <c r="C65" s="88"/>
      <c r="D65" s="88"/>
      <c r="E65" s="88"/>
      <c r="F65" s="88"/>
    </row>
    <row r="66" spans="1:6" ht="4.5" customHeight="1">
      <c r="A66" s="1"/>
      <c r="B66" s="1"/>
      <c r="C66" s="1"/>
      <c r="D66" s="2"/>
      <c r="E66" s="2"/>
      <c r="F66" s="2"/>
    </row>
    <row r="67" spans="1:6" ht="85.5">
      <c r="A67" s="7"/>
      <c r="B67" s="8" t="s">
        <v>1</v>
      </c>
      <c r="C67" s="8" t="s">
        <v>2</v>
      </c>
      <c r="D67" s="8" t="s">
        <v>3</v>
      </c>
      <c r="E67" s="8" t="s">
        <v>4</v>
      </c>
      <c r="F67" s="2"/>
    </row>
    <row r="68" spans="1:5" ht="30" customHeight="1">
      <c r="A68" s="89" t="s">
        <v>123</v>
      </c>
      <c r="B68" s="89"/>
      <c r="C68" s="89"/>
      <c r="D68" s="17">
        <f>D69</f>
        <v>8.472</v>
      </c>
      <c r="E68" s="17">
        <f>E69</f>
        <v>0.01</v>
      </c>
    </row>
    <row r="69" spans="1:5" ht="30">
      <c r="A69" s="12" t="s">
        <v>5</v>
      </c>
      <c r="B69" s="43" t="s">
        <v>35</v>
      </c>
      <c r="C69" s="43" t="s">
        <v>42</v>
      </c>
      <c r="D69" s="15">
        <f>E69*$D$41*12</f>
        <v>8.472</v>
      </c>
      <c r="E69" s="44">
        <v>0.01</v>
      </c>
    </row>
    <row r="70" spans="1:5" ht="30" customHeight="1">
      <c r="A70" s="89" t="s">
        <v>102</v>
      </c>
      <c r="B70" s="89"/>
      <c r="C70" s="89"/>
      <c r="D70" s="17">
        <f>D71</f>
        <v>50.831999999999994</v>
      </c>
      <c r="E70" s="17">
        <f>E71</f>
        <v>0.06</v>
      </c>
    </row>
    <row r="71" spans="1:5" ht="15">
      <c r="A71" s="12" t="s">
        <v>34</v>
      </c>
      <c r="B71" s="45" t="s">
        <v>9</v>
      </c>
      <c r="C71" s="7" t="s">
        <v>42</v>
      </c>
      <c r="D71" s="15">
        <f>E71*$D$41*12</f>
        <v>50.831999999999994</v>
      </c>
      <c r="E71" s="16">
        <v>0.06</v>
      </c>
    </row>
    <row r="72" spans="1:6" ht="15">
      <c r="A72" s="8"/>
      <c r="B72" s="24" t="s">
        <v>24</v>
      </c>
      <c r="C72" s="24"/>
      <c r="D72" s="25">
        <f>D68+D70</f>
        <v>59.303999999999995</v>
      </c>
      <c r="E72" s="17">
        <f>E68+E70</f>
        <v>0.06999999999999999</v>
      </c>
      <c r="F72" s="5"/>
    </row>
    <row r="73" spans="1:6" ht="6.75" customHeight="1">
      <c r="A73" s="2"/>
      <c r="B73" s="2"/>
      <c r="C73" s="2"/>
      <c r="D73" s="2"/>
      <c r="E73" s="2"/>
      <c r="F73" s="2"/>
    </row>
    <row r="74" spans="1:6" ht="5.25" customHeight="1">
      <c r="A74" s="31"/>
      <c r="B74" s="31"/>
      <c r="C74" s="31"/>
      <c r="D74" s="31"/>
      <c r="E74" s="31"/>
      <c r="F74" s="32"/>
    </row>
    <row r="75" spans="1:6" ht="105">
      <c r="A75" s="10" t="s">
        <v>25</v>
      </c>
      <c r="B75" s="10" t="s">
        <v>26</v>
      </c>
      <c r="C75" s="10" t="s">
        <v>27</v>
      </c>
      <c r="D75" s="10" t="s">
        <v>28</v>
      </c>
      <c r="E75" s="10" t="s">
        <v>36</v>
      </c>
      <c r="F75" s="10" t="s">
        <v>30</v>
      </c>
    </row>
    <row r="76" spans="1:6" ht="15">
      <c r="A76" s="10">
        <v>1</v>
      </c>
      <c r="B76" s="7" t="s">
        <v>110</v>
      </c>
      <c r="C76" s="10" t="s">
        <v>47</v>
      </c>
      <c r="D76" s="10">
        <v>1509</v>
      </c>
      <c r="E76" s="33">
        <f>D76/12/$D$41</f>
        <v>1.781161473087819</v>
      </c>
      <c r="F76" s="34">
        <v>2</v>
      </c>
    </row>
    <row r="77" spans="1:6" ht="15">
      <c r="A77" s="47"/>
      <c r="B77" s="47" t="s">
        <v>31</v>
      </c>
      <c r="C77" s="47"/>
      <c r="D77" s="48">
        <f>SUM(D76:D76)</f>
        <v>1509</v>
      </c>
      <c r="E77" s="49">
        <f>SUM(E76:E76)</f>
        <v>1.781161473087819</v>
      </c>
      <c r="F77" s="47"/>
    </row>
    <row r="78" ht="9" customHeight="1"/>
    <row r="79" ht="7.5" customHeight="1"/>
    <row r="80" spans="2:3" ht="43.5">
      <c r="B80" s="27" t="s">
        <v>87</v>
      </c>
      <c r="C80" s="58">
        <f>C23+C62-0.5</f>
        <v>6125.224353881192</v>
      </c>
    </row>
  </sheetData>
  <mergeCells count="16">
    <mergeCell ref="A65:F65"/>
    <mergeCell ref="A68:C68"/>
    <mergeCell ref="A70:C70"/>
    <mergeCell ref="A46:C46"/>
    <mergeCell ref="A49:C49"/>
    <mergeCell ref="A51:C51"/>
    <mergeCell ref="A54:C54"/>
    <mergeCell ref="A4:E4"/>
    <mergeCell ref="A7:C7"/>
    <mergeCell ref="A10:C10"/>
    <mergeCell ref="A43:E43"/>
    <mergeCell ref="A12:C12"/>
    <mergeCell ref="A31:C31"/>
    <mergeCell ref="A15:C15"/>
    <mergeCell ref="A26:F26"/>
    <mergeCell ref="A29:C29"/>
  </mergeCells>
  <printOptions/>
  <pageMargins left="0.7874015748031497" right="0.2362204724409449" top="0.5905511811023623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22">
      <selection activeCell="A29" sqref="A29:C29"/>
    </sheetView>
  </sheetViews>
  <sheetFormatPr defaultColWidth="9.140625" defaultRowHeight="12.75"/>
  <cols>
    <col min="1" max="1" width="3.421875" style="3" customWidth="1"/>
    <col min="2" max="2" width="40.8515625" style="3" customWidth="1"/>
    <col min="3" max="3" width="17.421875" style="3" customWidth="1"/>
    <col min="4" max="4" width="11.28125" style="3" customWidth="1"/>
    <col min="5" max="5" width="11.8515625" style="3" customWidth="1"/>
    <col min="6" max="6" width="8.57421875" style="3" customWidth="1"/>
    <col min="7" max="16384" width="9.140625" style="3" customWidth="1"/>
  </cols>
  <sheetData>
    <row r="1" ht="15">
      <c r="B1" s="56" t="s">
        <v>62</v>
      </c>
    </row>
    <row r="2" spans="1:6" ht="24" customHeight="1">
      <c r="A2" s="2"/>
      <c r="B2" s="1" t="s">
        <v>108</v>
      </c>
      <c r="C2" s="4"/>
      <c r="D2" s="57">
        <v>48</v>
      </c>
      <c r="E2" s="5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40.5" customHeight="1">
      <c r="A4" s="88" t="s">
        <v>109</v>
      </c>
      <c r="B4" s="88"/>
      <c r="C4" s="88"/>
      <c r="D4" s="88"/>
      <c r="E4" s="88"/>
      <c r="F4" s="2"/>
    </row>
    <row r="5" spans="1:6" ht="15">
      <c r="A5" s="1"/>
      <c r="B5" s="1"/>
      <c r="C5" s="1"/>
      <c r="D5" s="1"/>
      <c r="E5" s="1"/>
      <c r="F5" s="2"/>
    </row>
    <row r="6" spans="1:6" ht="85.5">
      <c r="A6" s="7"/>
      <c r="B6" s="8" t="s">
        <v>1</v>
      </c>
      <c r="C6" s="8" t="s">
        <v>2</v>
      </c>
      <c r="D6" s="8" t="s">
        <v>3</v>
      </c>
      <c r="E6" s="8" t="s">
        <v>4</v>
      </c>
      <c r="F6" s="2"/>
    </row>
    <row r="7" spans="1:7" ht="15">
      <c r="A7" s="90" t="s">
        <v>37</v>
      </c>
      <c r="B7" s="91"/>
      <c r="C7" s="92"/>
      <c r="D7" s="17">
        <f>SUM(D8:D9)</f>
        <v>269.1424876933133</v>
      </c>
      <c r="E7" s="17">
        <f>SUM(E8:E9)</f>
        <v>0.4672612633564467</v>
      </c>
      <c r="F7" s="20"/>
      <c r="G7" s="19"/>
    </row>
    <row r="8" spans="1:7" ht="15.75" customHeight="1">
      <c r="A8" s="12">
        <v>1</v>
      </c>
      <c r="B8" s="7" t="s">
        <v>11</v>
      </c>
      <c r="C8" s="14" t="s">
        <v>12</v>
      </c>
      <c r="D8" s="15">
        <f>E8*$D$2*12</f>
        <v>246.24198325097277</v>
      </c>
      <c r="E8" s="21">
        <v>0.42750344314405</v>
      </c>
      <c r="F8" s="18"/>
      <c r="G8" s="19"/>
    </row>
    <row r="9" spans="1:7" ht="30">
      <c r="A9" s="12">
        <v>2</v>
      </c>
      <c r="B9" s="13" t="s">
        <v>13</v>
      </c>
      <c r="C9" s="13" t="s">
        <v>14</v>
      </c>
      <c r="D9" s="15">
        <f>E9*$D$2*12</f>
        <v>22.900504442340498</v>
      </c>
      <c r="E9" s="21">
        <v>0.0397578202123967</v>
      </c>
      <c r="F9" s="18"/>
      <c r="G9" s="19"/>
    </row>
    <row r="10" spans="1:7" ht="29.25" customHeight="1">
      <c r="A10" s="90" t="s">
        <v>103</v>
      </c>
      <c r="B10" s="93"/>
      <c r="C10" s="94"/>
      <c r="D10" s="22">
        <f>SUM(D11:D11)</f>
        <v>17.493366012269473</v>
      </c>
      <c r="E10" s="22">
        <f>SUM(E11:E11)</f>
        <v>0.0303704271046345</v>
      </c>
      <c r="F10" s="18"/>
      <c r="G10" s="19"/>
    </row>
    <row r="11" spans="1:6" ht="75" customHeight="1">
      <c r="A11" s="12">
        <v>3</v>
      </c>
      <c r="B11" s="13" t="s">
        <v>38</v>
      </c>
      <c r="C11" s="13" t="s">
        <v>7</v>
      </c>
      <c r="D11" s="15">
        <f>E11*12*$D$2</f>
        <v>17.493366012269473</v>
      </c>
      <c r="E11" s="15">
        <v>0.0303704271046345</v>
      </c>
      <c r="F11" s="2"/>
    </row>
    <row r="12" spans="1:9" ht="15">
      <c r="A12" s="95" t="s">
        <v>39</v>
      </c>
      <c r="B12" s="96"/>
      <c r="C12" s="96"/>
      <c r="D12" s="11">
        <f>SUM(D13:D14)</f>
        <v>691.8612055800842</v>
      </c>
      <c r="E12" s="11">
        <f>SUM(E13:E14)</f>
        <v>1.2011479263543128</v>
      </c>
      <c r="F12" s="2"/>
      <c r="G12" s="51"/>
      <c r="H12" s="51"/>
      <c r="I12" s="52"/>
    </row>
    <row r="13" spans="1:9" ht="61.5" customHeight="1">
      <c r="A13" s="12">
        <v>4</v>
      </c>
      <c r="B13" s="13" t="s">
        <v>43</v>
      </c>
      <c r="C13" s="13" t="s">
        <v>7</v>
      </c>
      <c r="D13" s="15">
        <f>E13*12*$D$2</f>
        <v>104.18033484494944</v>
      </c>
      <c r="E13" s="15">
        <f>0.0836268703481988+0.097241766535394</f>
        <v>0.18086863688359278</v>
      </c>
      <c r="F13" s="2"/>
      <c r="G13" s="51"/>
      <c r="H13" s="51"/>
      <c r="I13" s="52"/>
    </row>
    <row r="14" spans="1:9" ht="75">
      <c r="A14" s="12">
        <v>5</v>
      </c>
      <c r="B14" s="13" t="s">
        <v>19</v>
      </c>
      <c r="C14" s="13" t="s">
        <v>40</v>
      </c>
      <c r="D14" s="15">
        <f>E14*12*$D$2</f>
        <v>587.6808707351347</v>
      </c>
      <c r="E14" s="21">
        <f>0.90775617487072+0.1125231146</f>
        <v>1.02027928947072</v>
      </c>
      <c r="F14" s="2"/>
      <c r="G14" s="54"/>
      <c r="H14" s="54"/>
      <c r="I14" s="54"/>
    </row>
    <row r="15" spans="1:9" ht="15">
      <c r="A15" s="95" t="s">
        <v>41</v>
      </c>
      <c r="B15" s="95"/>
      <c r="C15" s="95"/>
      <c r="D15" s="23">
        <f>SUM(D16)</f>
        <v>84.76233661542229</v>
      </c>
      <c r="E15" s="22">
        <f>SUM(E16)</f>
        <v>0.1471568344017748</v>
      </c>
      <c r="F15" s="2"/>
      <c r="G15" s="54"/>
      <c r="H15" s="54"/>
      <c r="I15" s="54"/>
    </row>
    <row r="16" spans="1:6" ht="15">
      <c r="A16" s="12">
        <v>6</v>
      </c>
      <c r="B16" s="13" t="s">
        <v>21</v>
      </c>
      <c r="C16" s="13" t="s">
        <v>22</v>
      </c>
      <c r="D16" s="15">
        <f>E16*12*$D$2</f>
        <v>84.76233661542229</v>
      </c>
      <c r="E16" s="21">
        <f>0.126875+0.0202818344017748</f>
        <v>0.1471568344017748</v>
      </c>
      <c r="F16" s="2"/>
    </row>
    <row r="17" spans="1:6" ht="15">
      <c r="A17" s="8"/>
      <c r="B17" s="24" t="s">
        <v>24</v>
      </c>
      <c r="C17" s="24"/>
      <c r="D17" s="25">
        <f>D7+D10+D12+D15</f>
        <v>1063.2593959010892</v>
      </c>
      <c r="E17" s="17">
        <f>E7+E10+E12+E15</f>
        <v>1.8459364512171688</v>
      </c>
      <c r="F17" s="5"/>
    </row>
    <row r="18" spans="1:6" ht="15">
      <c r="A18" s="26"/>
      <c r="B18" s="27"/>
      <c r="C18" s="28"/>
      <c r="D18" s="29"/>
      <c r="E18" s="30"/>
      <c r="F18" s="2"/>
    </row>
    <row r="19" spans="1:6" ht="105">
      <c r="A19" s="10" t="s">
        <v>25</v>
      </c>
      <c r="B19" s="10" t="s">
        <v>26</v>
      </c>
      <c r="C19" s="10" t="s">
        <v>27</v>
      </c>
      <c r="D19" s="10" t="s">
        <v>28</v>
      </c>
      <c r="E19" s="10" t="s">
        <v>29</v>
      </c>
      <c r="F19" s="10" t="s">
        <v>30</v>
      </c>
    </row>
    <row r="20" spans="1:6" ht="15">
      <c r="A20" s="10">
        <v>1</v>
      </c>
      <c r="B20" s="7" t="s">
        <v>110</v>
      </c>
      <c r="C20" s="10" t="s">
        <v>46</v>
      </c>
      <c r="D20" s="10">
        <v>1006</v>
      </c>
      <c r="E20" s="33">
        <f>D20/12/$D$2</f>
        <v>1.7465277777777777</v>
      </c>
      <c r="F20" s="34">
        <v>2</v>
      </c>
    </row>
    <row r="21" spans="1:6" ht="15">
      <c r="A21" s="10"/>
      <c r="B21" s="36" t="s">
        <v>31</v>
      </c>
      <c r="C21" s="9"/>
      <c r="D21" s="37">
        <f>SUM(D20:D20)</f>
        <v>1006</v>
      </c>
      <c r="E21" s="38">
        <f>SUM(E20:E20)</f>
        <v>1.7465277777777777</v>
      </c>
      <c r="F21" s="39"/>
    </row>
    <row r="22" spans="1:6" ht="15">
      <c r="A22" s="26"/>
      <c r="B22" s="27"/>
      <c r="C22" s="40"/>
      <c r="D22" s="40"/>
      <c r="E22" s="40"/>
      <c r="F22" s="40"/>
    </row>
    <row r="23" spans="1:6" ht="29.25">
      <c r="A23" s="26"/>
      <c r="B23" s="27" t="s">
        <v>32</v>
      </c>
      <c r="C23" s="41">
        <f>D17+D21</f>
        <v>2069.259395901089</v>
      </c>
      <c r="D23" s="41"/>
      <c r="E23" s="41"/>
      <c r="F23" s="40"/>
    </row>
    <row r="24" spans="1:6" ht="15">
      <c r="A24" s="26"/>
      <c r="B24" s="27" t="s">
        <v>33</v>
      </c>
      <c r="C24" s="42">
        <f>E17+E21</f>
        <v>3.592464228994946</v>
      </c>
      <c r="D24" s="40"/>
      <c r="E24" s="40"/>
      <c r="F24" s="40"/>
    </row>
    <row r="25" spans="1:6" ht="3" customHeight="1">
      <c r="A25" s="26"/>
      <c r="B25" s="27"/>
      <c r="C25" s="42"/>
      <c r="D25" s="40"/>
      <c r="E25" s="40"/>
      <c r="F25" s="40"/>
    </row>
    <row r="26" spans="1:6" ht="33" customHeight="1">
      <c r="A26" s="88" t="s">
        <v>111</v>
      </c>
      <c r="B26" s="88"/>
      <c r="C26" s="88"/>
      <c r="D26" s="88"/>
      <c r="E26" s="88"/>
      <c r="F26" s="88"/>
    </row>
    <row r="27" spans="1:6" ht="15">
      <c r="A27" s="1"/>
      <c r="B27" s="1"/>
      <c r="C27" s="1"/>
      <c r="D27" s="2"/>
      <c r="E27" s="2"/>
      <c r="F27" s="2"/>
    </row>
    <row r="28" spans="1:6" ht="85.5">
      <c r="A28" s="7"/>
      <c r="B28" s="8" t="s">
        <v>1</v>
      </c>
      <c r="C28" s="8" t="s">
        <v>2</v>
      </c>
      <c r="D28" s="8" t="s">
        <v>3</v>
      </c>
      <c r="E28" s="8" t="s">
        <v>4</v>
      </c>
      <c r="F28" s="2"/>
    </row>
    <row r="29" spans="1:5" ht="30" customHeight="1">
      <c r="A29" s="89" t="s">
        <v>123</v>
      </c>
      <c r="B29" s="89"/>
      <c r="C29" s="89"/>
      <c r="D29" s="17">
        <f>D30</f>
        <v>5.76</v>
      </c>
      <c r="E29" s="17">
        <f>E30</f>
        <v>0.01</v>
      </c>
    </row>
    <row r="30" spans="1:5" ht="30">
      <c r="A30" s="12" t="s">
        <v>5</v>
      </c>
      <c r="B30" s="43" t="s">
        <v>35</v>
      </c>
      <c r="C30" s="43" t="s">
        <v>42</v>
      </c>
      <c r="D30" s="15">
        <f>E30*12*$D$2</f>
        <v>5.76</v>
      </c>
      <c r="E30" s="44">
        <v>0.01</v>
      </c>
    </row>
    <row r="31" spans="1:5" ht="30" customHeight="1">
      <c r="A31" s="89" t="s">
        <v>102</v>
      </c>
      <c r="B31" s="89"/>
      <c r="C31" s="89"/>
      <c r="D31" s="17">
        <f>D32</f>
        <v>34.56</v>
      </c>
      <c r="E31" s="17">
        <f>E32</f>
        <v>0.06</v>
      </c>
    </row>
    <row r="32" spans="1:5" ht="15">
      <c r="A32" s="12" t="s">
        <v>34</v>
      </c>
      <c r="B32" s="45" t="s">
        <v>9</v>
      </c>
      <c r="C32" s="7" t="s">
        <v>42</v>
      </c>
      <c r="D32" s="15">
        <f>E32*$D$2*12</f>
        <v>34.56</v>
      </c>
      <c r="E32" s="16">
        <v>0.06</v>
      </c>
    </row>
    <row r="33" spans="1:6" ht="15">
      <c r="A33" s="8"/>
      <c r="B33" s="24" t="s">
        <v>24</v>
      </c>
      <c r="C33" s="24"/>
      <c r="D33" s="25">
        <f>D29+D31</f>
        <v>40.32</v>
      </c>
      <c r="E33" s="17">
        <f>E29+E31</f>
        <v>0.06999999999999999</v>
      </c>
      <c r="F33" s="5"/>
    </row>
    <row r="34" spans="1:6" ht="15">
      <c r="A34" s="2"/>
      <c r="B34" s="2"/>
      <c r="C34" s="2"/>
      <c r="D34" s="2"/>
      <c r="E34" s="2"/>
      <c r="F34" s="2"/>
    </row>
    <row r="35" spans="1:6" ht="15">
      <c r="A35" s="31"/>
      <c r="B35" s="31"/>
      <c r="C35" s="31"/>
      <c r="D35" s="31"/>
      <c r="E35" s="31"/>
      <c r="F35" s="32"/>
    </row>
    <row r="36" spans="1:6" ht="105">
      <c r="A36" s="10" t="s">
        <v>25</v>
      </c>
      <c r="B36" s="10" t="s">
        <v>26</v>
      </c>
      <c r="C36" s="10" t="s">
        <v>27</v>
      </c>
      <c r="D36" s="10" t="s">
        <v>28</v>
      </c>
      <c r="E36" s="10" t="s">
        <v>36</v>
      </c>
      <c r="F36" s="10" t="s">
        <v>30</v>
      </c>
    </row>
    <row r="37" spans="1:6" ht="15">
      <c r="A37" s="10">
        <v>1</v>
      </c>
      <c r="B37" s="7" t="s">
        <v>110</v>
      </c>
      <c r="C37" s="10" t="s">
        <v>46</v>
      </c>
      <c r="D37" s="10">
        <v>1006</v>
      </c>
      <c r="E37" s="46">
        <f>D37/12/$D$2</f>
        <v>1.7465277777777777</v>
      </c>
      <c r="F37" s="34">
        <v>2</v>
      </c>
    </row>
    <row r="38" spans="1:6" ht="15">
      <c r="A38" s="47"/>
      <c r="B38" s="47" t="s">
        <v>31</v>
      </c>
      <c r="C38" s="47"/>
      <c r="D38" s="48">
        <f>SUM(D37:D37)</f>
        <v>1006</v>
      </c>
      <c r="E38" s="49">
        <f>SUM(E37:E37)</f>
        <v>1.7465277777777777</v>
      </c>
      <c r="F38" s="47"/>
    </row>
    <row r="42" spans="2:3" ht="43.5">
      <c r="B42" s="27" t="s">
        <v>88</v>
      </c>
      <c r="C42" s="58">
        <f>C23</f>
        <v>2069.259395901089</v>
      </c>
    </row>
  </sheetData>
  <mergeCells count="8">
    <mergeCell ref="A4:E4"/>
    <mergeCell ref="A7:C7"/>
    <mergeCell ref="A10:C10"/>
    <mergeCell ref="A12:C12"/>
    <mergeCell ref="A31:C31"/>
    <mergeCell ref="A15:C15"/>
    <mergeCell ref="A26:F26"/>
    <mergeCell ref="A29:C29"/>
  </mergeCells>
  <printOptions/>
  <pageMargins left="0.7874015748031497" right="0.2362204724409449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64">
      <selection activeCell="A68" sqref="A68:C68"/>
    </sheetView>
  </sheetViews>
  <sheetFormatPr defaultColWidth="9.140625" defaultRowHeight="12.75"/>
  <cols>
    <col min="1" max="1" width="3.421875" style="3" customWidth="1"/>
    <col min="2" max="2" width="40.8515625" style="3" customWidth="1"/>
    <col min="3" max="3" width="17.421875" style="3" customWidth="1"/>
    <col min="4" max="4" width="11.28125" style="3" customWidth="1"/>
    <col min="5" max="5" width="11.8515625" style="3" customWidth="1"/>
    <col min="6" max="6" width="8.57421875" style="3" customWidth="1"/>
    <col min="7" max="16384" width="9.140625" style="3" customWidth="1"/>
  </cols>
  <sheetData>
    <row r="1" ht="15">
      <c r="B1" s="56" t="s">
        <v>63</v>
      </c>
    </row>
    <row r="2" spans="1:6" ht="24" customHeight="1">
      <c r="A2" s="2"/>
      <c r="B2" s="1" t="s">
        <v>112</v>
      </c>
      <c r="C2" s="4"/>
      <c r="D2" s="50">
        <v>76.9</v>
      </c>
      <c r="E2" s="5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40.5" customHeight="1">
      <c r="A4" s="88" t="s">
        <v>109</v>
      </c>
      <c r="B4" s="88"/>
      <c r="C4" s="88"/>
      <c r="D4" s="88"/>
      <c r="E4" s="88"/>
      <c r="F4" s="2"/>
    </row>
    <row r="5" spans="1:6" ht="15">
      <c r="A5" s="1"/>
      <c r="B5" s="1"/>
      <c r="C5" s="1"/>
      <c r="D5" s="1"/>
      <c r="E5" s="1"/>
      <c r="F5" s="2"/>
    </row>
    <row r="6" spans="1:6" ht="85.5">
      <c r="A6" s="7"/>
      <c r="B6" s="8" t="s">
        <v>1</v>
      </c>
      <c r="C6" s="8" t="s">
        <v>2</v>
      </c>
      <c r="D6" s="8" t="s">
        <v>3</v>
      </c>
      <c r="E6" s="8" t="s">
        <v>4</v>
      </c>
      <c r="F6" s="2"/>
    </row>
    <row r="7" spans="1:7" ht="15">
      <c r="A7" s="90" t="s">
        <v>37</v>
      </c>
      <c r="B7" s="91"/>
      <c r="C7" s="92"/>
      <c r="D7" s="17">
        <f>SUM(D8:D9)</f>
        <v>269.1424876933134</v>
      </c>
      <c r="E7" s="17">
        <f>SUM(E8:E9)</f>
        <v>0.2916585258921905</v>
      </c>
      <c r="F7" s="20"/>
      <c r="G7" s="19"/>
    </row>
    <row r="8" spans="1:7" ht="15.75" customHeight="1">
      <c r="A8" s="12">
        <v>1</v>
      </c>
      <c r="B8" s="7" t="s">
        <v>11</v>
      </c>
      <c r="C8" s="14" t="s">
        <v>12</v>
      </c>
      <c r="D8" s="15">
        <f>E8*$D$2*12</f>
        <v>246.24198325097294</v>
      </c>
      <c r="E8" s="21">
        <v>0.266842201182242</v>
      </c>
      <c r="F8" s="18"/>
      <c r="G8" s="19"/>
    </row>
    <row r="9" spans="1:7" ht="30">
      <c r="A9" s="12">
        <v>2</v>
      </c>
      <c r="B9" s="13" t="s">
        <v>13</v>
      </c>
      <c r="C9" s="13" t="s">
        <v>14</v>
      </c>
      <c r="D9" s="15">
        <f>E9*$D$2*12</f>
        <v>22.900504442340477</v>
      </c>
      <c r="E9" s="21">
        <v>0.0248163247099485</v>
      </c>
      <c r="F9" s="18"/>
      <c r="G9" s="19"/>
    </row>
    <row r="10" spans="1:7" ht="29.25" customHeight="1">
      <c r="A10" s="90" t="s">
        <v>103</v>
      </c>
      <c r="B10" s="93"/>
      <c r="C10" s="94"/>
      <c r="D10" s="22">
        <f>SUM(D11:D11)</f>
        <v>17.49336601226953</v>
      </c>
      <c r="E10" s="22">
        <f>SUM(E11:E11)</f>
        <v>0.018956833563361</v>
      </c>
      <c r="F10" s="18"/>
      <c r="G10" s="19"/>
    </row>
    <row r="11" spans="1:6" ht="75" customHeight="1">
      <c r="A11" s="12">
        <v>3</v>
      </c>
      <c r="B11" s="13" t="s">
        <v>38</v>
      </c>
      <c r="C11" s="13" t="s">
        <v>7</v>
      </c>
      <c r="D11" s="15">
        <f>E11*12*$D$2</f>
        <v>17.49336601226953</v>
      </c>
      <c r="E11" s="15">
        <v>0.018956833563361</v>
      </c>
      <c r="F11" s="2"/>
    </row>
    <row r="12" spans="1:9" ht="15">
      <c r="A12" s="95" t="s">
        <v>39</v>
      </c>
      <c r="B12" s="96"/>
      <c r="C12" s="96"/>
      <c r="D12" s="11">
        <f>SUM(D13:D14)</f>
        <v>1108.419306439761</v>
      </c>
      <c r="E12" s="11">
        <f>SUM(E13:E14)</f>
        <v>1.2011479263543139</v>
      </c>
      <c r="F12" s="2"/>
      <c r="G12" s="51"/>
      <c r="H12" s="51"/>
      <c r="I12" s="52"/>
    </row>
    <row r="13" spans="1:9" ht="61.5" customHeight="1">
      <c r="A13" s="12">
        <v>4</v>
      </c>
      <c r="B13" s="13" t="s">
        <v>43</v>
      </c>
      <c r="C13" s="13" t="s">
        <v>7</v>
      </c>
      <c r="D13" s="15">
        <f>E13*12*$D$2</f>
        <v>166.90557811617944</v>
      </c>
      <c r="E13" s="15">
        <f>0.0836268703481988+0.097241766535394</f>
        <v>0.18086863688359278</v>
      </c>
      <c r="F13" s="2"/>
      <c r="G13" s="51"/>
      <c r="H13" s="51"/>
      <c r="I13" s="52"/>
    </row>
    <row r="14" spans="1:9" ht="75">
      <c r="A14" s="12">
        <v>5</v>
      </c>
      <c r="B14" s="13" t="s">
        <v>19</v>
      </c>
      <c r="C14" s="13" t="s">
        <v>40</v>
      </c>
      <c r="D14" s="15">
        <f>E14*12*$D$2</f>
        <v>941.5137283235815</v>
      </c>
      <c r="E14" s="21">
        <f>0.907756174870721+0.1125231146</f>
        <v>1.020279289470721</v>
      </c>
      <c r="F14" s="2"/>
      <c r="G14" s="54"/>
      <c r="H14" s="54"/>
      <c r="I14" s="54"/>
    </row>
    <row r="15" spans="1:9" ht="15">
      <c r="A15" s="95" t="s">
        <v>41</v>
      </c>
      <c r="B15" s="95"/>
      <c r="C15" s="95"/>
      <c r="D15" s="23">
        <f>SUM(D16)</f>
        <v>89.14439430253253</v>
      </c>
      <c r="E15" s="22">
        <f>SUM(E16)</f>
        <v>0.0966020744500786</v>
      </c>
      <c r="F15" s="2"/>
      <c r="G15" s="54"/>
      <c r="H15" s="54"/>
      <c r="I15" s="54"/>
    </row>
    <row r="16" spans="1:6" ht="15">
      <c r="A16" s="12">
        <v>6</v>
      </c>
      <c r="B16" s="13" t="s">
        <v>21</v>
      </c>
      <c r="C16" s="13" t="s">
        <v>22</v>
      </c>
      <c r="D16" s="15">
        <f>E16*12*$D$2</f>
        <v>89.14439430253253</v>
      </c>
      <c r="E16" s="21">
        <f>0.0174083163226404+0.0791937581274382</f>
        <v>0.0966020744500786</v>
      </c>
      <c r="F16" s="2"/>
    </row>
    <row r="17" spans="1:6" ht="15">
      <c r="A17" s="8"/>
      <c r="B17" s="24" t="s">
        <v>24</v>
      </c>
      <c r="C17" s="24"/>
      <c r="D17" s="25">
        <f>D7+D10+D12+D15</f>
        <v>1484.1995544478764</v>
      </c>
      <c r="E17" s="17">
        <f>E7+E10+E12+E15</f>
        <v>1.608365360259944</v>
      </c>
      <c r="F17" s="5"/>
    </row>
    <row r="18" spans="1:6" ht="15">
      <c r="A18" s="26"/>
      <c r="B18" s="27"/>
      <c r="C18" s="28"/>
      <c r="D18" s="29"/>
      <c r="E18" s="30"/>
      <c r="F18" s="2"/>
    </row>
    <row r="19" spans="1:6" ht="105">
      <c r="A19" s="10" t="s">
        <v>25</v>
      </c>
      <c r="B19" s="10" t="s">
        <v>26</v>
      </c>
      <c r="C19" s="10" t="s">
        <v>27</v>
      </c>
      <c r="D19" s="10" t="s">
        <v>28</v>
      </c>
      <c r="E19" s="10" t="s">
        <v>29</v>
      </c>
      <c r="F19" s="10" t="s">
        <v>30</v>
      </c>
    </row>
    <row r="20" spans="1:6" ht="15">
      <c r="A20" s="10">
        <v>1</v>
      </c>
      <c r="B20" s="7" t="s">
        <v>110</v>
      </c>
      <c r="C20" s="10" t="s">
        <v>47</v>
      </c>
      <c r="D20" s="10">
        <v>1509</v>
      </c>
      <c r="E20" s="33">
        <f>D20/12/$D$2</f>
        <v>1.6352405721716514</v>
      </c>
      <c r="F20" s="34">
        <v>2</v>
      </c>
    </row>
    <row r="21" spans="1:6" ht="15">
      <c r="A21" s="10"/>
      <c r="B21" s="36" t="s">
        <v>31</v>
      </c>
      <c r="C21" s="9"/>
      <c r="D21" s="37">
        <f>SUM(D20:D20)</f>
        <v>1509</v>
      </c>
      <c r="E21" s="38">
        <f>SUM(E20:E20)</f>
        <v>1.6352405721716514</v>
      </c>
      <c r="F21" s="39"/>
    </row>
    <row r="22" spans="1:6" ht="15">
      <c r="A22" s="26"/>
      <c r="B22" s="27"/>
      <c r="C22" s="40"/>
      <c r="D22" s="40"/>
      <c r="E22" s="40"/>
      <c r="F22" s="40"/>
    </row>
    <row r="23" spans="1:6" ht="29.25">
      <c r="A23" s="26"/>
      <c r="B23" s="27" t="s">
        <v>32</v>
      </c>
      <c r="C23" s="41">
        <f>D17+D21</f>
        <v>2993.1995544478764</v>
      </c>
      <c r="D23" s="41"/>
      <c r="E23" s="41"/>
      <c r="F23" s="40"/>
    </row>
    <row r="24" spans="1:6" ht="15">
      <c r="A24" s="26"/>
      <c r="B24" s="27" t="s">
        <v>33</v>
      </c>
      <c r="C24" s="42">
        <f>E17+E21</f>
        <v>3.2436059324315956</v>
      </c>
      <c r="D24" s="40"/>
      <c r="E24" s="40"/>
      <c r="F24" s="40"/>
    </row>
    <row r="25" spans="1:6" ht="3" customHeight="1">
      <c r="A25" s="26"/>
      <c r="B25" s="27"/>
      <c r="C25" s="42"/>
      <c r="D25" s="40"/>
      <c r="E25" s="40"/>
      <c r="F25" s="40"/>
    </row>
    <row r="26" spans="1:6" ht="30" customHeight="1">
      <c r="A26" s="88" t="s">
        <v>111</v>
      </c>
      <c r="B26" s="88"/>
      <c r="C26" s="88"/>
      <c r="D26" s="88"/>
      <c r="E26" s="88"/>
      <c r="F26" s="88"/>
    </row>
    <row r="27" spans="1:6" ht="6" customHeight="1">
      <c r="A27" s="1"/>
      <c r="B27" s="1"/>
      <c r="C27" s="1"/>
      <c r="D27" s="2"/>
      <c r="E27" s="2"/>
      <c r="F27" s="2"/>
    </row>
    <row r="28" spans="1:6" ht="85.5">
      <c r="A28" s="7"/>
      <c r="B28" s="8" t="s">
        <v>1</v>
      </c>
      <c r="C28" s="8" t="s">
        <v>2</v>
      </c>
      <c r="D28" s="8" t="s">
        <v>3</v>
      </c>
      <c r="E28" s="8" t="s">
        <v>4</v>
      </c>
      <c r="F28" s="2"/>
    </row>
    <row r="29" spans="1:5" ht="30" customHeight="1">
      <c r="A29" s="89" t="s">
        <v>123</v>
      </c>
      <c r="B29" s="89"/>
      <c r="C29" s="89"/>
      <c r="D29" s="17">
        <f>D30</f>
        <v>9.228</v>
      </c>
      <c r="E29" s="17">
        <f>E30</f>
        <v>0.01</v>
      </c>
    </row>
    <row r="30" spans="1:5" ht="30">
      <c r="A30" s="12" t="s">
        <v>5</v>
      </c>
      <c r="B30" s="43" t="s">
        <v>35</v>
      </c>
      <c r="C30" s="43" t="s">
        <v>42</v>
      </c>
      <c r="D30" s="15">
        <f>E30*12*$D$2</f>
        <v>9.228</v>
      </c>
      <c r="E30" s="44">
        <v>0.01</v>
      </c>
    </row>
    <row r="31" spans="1:5" ht="30" customHeight="1">
      <c r="A31" s="89" t="s">
        <v>102</v>
      </c>
      <c r="B31" s="89"/>
      <c r="C31" s="89"/>
      <c r="D31" s="17">
        <f>D32</f>
        <v>55.367999999999995</v>
      </c>
      <c r="E31" s="17">
        <f>E32</f>
        <v>0.06</v>
      </c>
    </row>
    <row r="32" spans="1:5" ht="15">
      <c r="A32" s="12" t="s">
        <v>34</v>
      </c>
      <c r="B32" s="45" t="s">
        <v>9</v>
      </c>
      <c r="C32" s="7" t="s">
        <v>42</v>
      </c>
      <c r="D32" s="15">
        <f>E32*$D$2*12</f>
        <v>55.367999999999995</v>
      </c>
      <c r="E32" s="16">
        <v>0.06</v>
      </c>
    </row>
    <row r="33" spans="1:6" ht="15">
      <c r="A33" s="8"/>
      <c r="B33" s="24" t="s">
        <v>24</v>
      </c>
      <c r="C33" s="24"/>
      <c r="D33" s="25">
        <f>D29+D31</f>
        <v>64.59599999999999</v>
      </c>
      <c r="E33" s="17">
        <f>E29+E31</f>
        <v>0.06999999999999999</v>
      </c>
      <c r="F33" s="5"/>
    </row>
    <row r="34" spans="1:6" ht="5.25" customHeight="1">
      <c r="A34" s="2"/>
      <c r="B34" s="2"/>
      <c r="C34" s="2"/>
      <c r="D34" s="2"/>
      <c r="E34" s="2"/>
      <c r="F34" s="2"/>
    </row>
    <row r="35" spans="1:6" ht="4.5" customHeight="1">
      <c r="A35" s="31"/>
      <c r="B35" s="31"/>
      <c r="C35" s="31"/>
      <c r="D35" s="31"/>
      <c r="E35" s="31"/>
      <c r="F35" s="32"/>
    </row>
    <row r="36" spans="1:6" ht="105">
      <c r="A36" s="10" t="s">
        <v>25</v>
      </c>
      <c r="B36" s="10" t="s">
        <v>26</v>
      </c>
      <c r="C36" s="10" t="s">
        <v>27</v>
      </c>
      <c r="D36" s="10" t="s">
        <v>28</v>
      </c>
      <c r="E36" s="10" t="s">
        <v>36</v>
      </c>
      <c r="F36" s="10" t="s">
        <v>30</v>
      </c>
    </row>
    <row r="37" spans="1:6" ht="15">
      <c r="A37" s="10">
        <v>1</v>
      </c>
      <c r="B37" s="7" t="s">
        <v>110</v>
      </c>
      <c r="C37" s="10" t="s">
        <v>47</v>
      </c>
      <c r="D37" s="10">
        <v>1509</v>
      </c>
      <c r="E37" s="46">
        <f>D37/12/$D$2</f>
        <v>1.6352405721716514</v>
      </c>
      <c r="F37" s="34">
        <v>2</v>
      </c>
    </row>
    <row r="38" spans="1:6" ht="15">
      <c r="A38" s="47"/>
      <c r="B38" s="47" t="s">
        <v>31</v>
      </c>
      <c r="C38" s="47"/>
      <c r="D38" s="48">
        <f>SUM(D37:D37)</f>
        <v>1509</v>
      </c>
      <c r="E38" s="49">
        <f>SUM(E37:E37)</f>
        <v>1.6352405721716514</v>
      </c>
      <c r="F38" s="47"/>
    </row>
    <row r="39" ht="8.25" customHeight="1"/>
    <row r="40" ht="6" customHeight="1"/>
    <row r="41" spans="1:6" ht="15">
      <c r="A41" s="2"/>
      <c r="B41" s="1" t="s">
        <v>113</v>
      </c>
      <c r="C41" s="4"/>
      <c r="D41" s="50">
        <v>51.9</v>
      </c>
      <c r="E41" s="5" t="s">
        <v>0</v>
      </c>
      <c r="F41" s="2"/>
    </row>
    <row r="42" spans="1:6" ht="6.75" customHeight="1">
      <c r="A42" s="2"/>
      <c r="B42" s="6"/>
      <c r="C42" s="2"/>
      <c r="D42" s="2"/>
      <c r="E42" s="2"/>
      <c r="F42" s="2"/>
    </row>
    <row r="43" spans="1:6" ht="28.5" customHeight="1">
      <c r="A43" s="88" t="s">
        <v>109</v>
      </c>
      <c r="B43" s="88"/>
      <c r="C43" s="88"/>
      <c r="D43" s="88"/>
      <c r="E43" s="88"/>
      <c r="F43" s="2"/>
    </row>
    <row r="44" spans="1:6" ht="6.75" customHeight="1">
      <c r="A44" s="1"/>
      <c r="B44" s="1"/>
      <c r="C44" s="1"/>
      <c r="D44" s="1"/>
      <c r="E44" s="1"/>
      <c r="F44" s="2"/>
    </row>
    <row r="45" spans="1:6" ht="85.5">
      <c r="A45" s="7"/>
      <c r="B45" s="8" t="s">
        <v>1</v>
      </c>
      <c r="C45" s="8" t="s">
        <v>2</v>
      </c>
      <c r="D45" s="8" t="s">
        <v>3</v>
      </c>
      <c r="E45" s="8" t="s">
        <v>4</v>
      </c>
      <c r="F45" s="2"/>
    </row>
    <row r="46" spans="1:7" ht="15">
      <c r="A46" s="90" t="s">
        <v>37</v>
      </c>
      <c r="B46" s="91"/>
      <c r="C46" s="92"/>
      <c r="D46" s="17">
        <f>SUM(D47:D48)</f>
        <v>269.1424876933134</v>
      </c>
      <c r="E46" s="17">
        <f>SUM(E47:E48)</f>
        <v>0.4321491453007602</v>
      </c>
      <c r="F46" s="20"/>
      <c r="G46" s="19"/>
    </row>
    <row r="47" spans="1:7" ht="15.75" customHeight="1">
      <c r="A47" s="12">
        <v>1</v>
      </c>
      <c r="B47" s="7" t="s">
        <v>11</v>
      </c>
      <c r="C47" s="14" t="s">
        <v>12</v>
      </c>
      <c r="D47" s="15">
        <f>E47*$D$41*12</f>
        <v>246.24198325097296</v>
      </c>
      <c r="E47" s="21">
        <v>0.395378906954035</v>
      </c>
      <c r="F47" s="18"/>
      <c r="G47" s="19"/>
    </row>
    <row r="48" spans="1:7" ht="30">
      <c r="A48" s="12">
        <v>2</v>
      </c>
      <c r="B48" s="13" t="s">
        <v>13</v>
      </c>
      <c r="C48" s="13" t="s">
        <v>14</v>
      </c>
      <c r="D48" s="15">
        <f>E48*$D$41*12</f>
        <v>22.900504442340456</v>
      </c>
      <c r="E48" s="21">
        <v>0.0367702383467252</v>
      </c>
      <c r="F48" s="18"/>
      <c r="G48" s="19"/>
    </row>
    <row r="49" spans="1:7" ht="29.25" customHeight="1">
      <c r="A49" s="90" t="s">
        <v>103</v>
      </c>
      <c r="B49" s="93"/>
      <c r="C49" s="94"/>
      <c r="D49" s="22">
        <f>SUM(D50:D50)</f>
        <v>17.493366012269476</v>
      </c>
      <c r="E49" s="22">
        <f>SUM(E50:E50)</f>
        <v>0.0280882562817429</v>
      </c>
      <c r="F49" s="18"/>
      <c r="G49" s="19"/>
    </row>
    <row r="50" spans="1:6" ht="63" customHeight="1">
      <c r="A50" s="12">
        <v>3</v>
      </c>
      <c r="B50" s="13" t="s">
        <v>38</v>
      </c>
      <c r="C50" s="13" t="s">
        <v>7</v>
      </c>
      <c r="D50" s="15">
        <f>E50*$D$41*12</f>
        <v>17.493366012269476</v>
      </c>
      <c r="E50" s="15">
        <v>0.0280882562817429</v>
      </c>
      <c r="F50" s="2"/>
    </row>
    <row r="51" spans="1:9" ht="15">
      <c r="A51" s="95" t="s">
        <v>39</v>
      </c>
      <c r="B51" s="96"/>
      <c r="C51" s="96"/>
      <c r="D51" s="11">
        <f>SUM(D52:D53)</f>
        <v>748.0749285334667</v>
      </c>
      <c r="E51" s="11">
        <f>SUM(E52:E53)</f>
        <v>1.2011479263543139</v>
      </c>
      <c r="F51" s="2"/>
      <c r="G51" s="51"/>
      <c r="H51" s="51"/>
      <c r="I51" s="52"/>
    </row>
    <row r="52" spans="1:9" ht="61.5" customHeight="1">
      <c r="A52" s="12">
        <v>4</v>
      </c>
      <c r="B52" s="13" t="s">
        <v>43</v>
      </c>
      <c r="C52" s="13" t="s">
        <v>7</v>
      </c>
      <c r="D52" s="15">
        <f>E52*$D$41*12</f>
        <v>112.64498705110157</v>
      </c>
      <c r="E52" s="15">
        <f>0.0836268703481988+0.097241766535394</f>
        <v>0.18086863688359278</v>
      </c>
      <c r="F52" s="2"/>
      <c r="G52" s="51"/>
      <c r="H52" s="51"/>
      <c r="I52" s="52"/>
    </row>
    <row r="53" spans="1:9" ht="75">
      <c r="A53" s="12">
        <v>5</v>
      </c>
      <c r="B53" s="13" t="s">
        <v>19</v>
      </c>
      <c r="C53" s="13" t="s">
        <v>40</v>
      </c>
      <c r="D53" s="15">
        <f>E53*$D$41*12</f>
        <v>635.4299414823652</v>
      </c>
      <c r="E53" s="21">
        <f>0.907756174870721+0.1125231146</f>
        <v>1.020279289470721</v>
      </c>
      <c r="F53" s="2"/>
      <c r="G53" s="54"/>
      <c r="H53" s="54"/>
      <c r="I53" s="54"/>
    </row>
    <row r="54" spans="1:9" ht="15">
      <c r="A54" s="95" t="s">
        <v>41</v>
      </c>
      <c r="B54" s="95"/>
      <c r="C54" s="95"/>
      <c r="D54" s="23">
        <f>SUM(D55)</f>
        <v>85.3536869607418</v>
      </c>
      <c r="E54" s="22">
        <f>SUM(E55)</f>
        <v>0.1370483091855199</v>
      </c>
      <c r="F54" s="2"/>
      <c r="G54" s="54"/>
      <c r="H54" s="54"/>
      <c r="I54" s="54"/>
    </row>
    <row r="55" spans="1:6" ht="15">
      <c r="A55" s="12">
        <v>6</v>
      </c>
      <c r="B55" s="13" t="s">
        <v>21</v>
      </c>
      <c r="C55" s="13" t="s">
        <v>22</v>
      </c>
      <c r="D55" s="15">
        <f>E55*$D$41*12</f>
        <v>85.3536869607418</v>
      </c>
      <c r="E55" s="21">
        <f>0.0197072687230919+0.117341040462428</f>
        <v>0.1370483091855199</v>
      </c>
      <c r="F55" s="2"/>
    </row>
    <row r="56" spans="1:6" ht="15">
      <c r="A56" s="8"/>
      <c r="B56" s="24" t="s">
        <v>24</v>
      </c>
      <c r="C56" s="24"/>
      <c r="D56" s="25">
        <f>D46+D49+D51+D54</f>
        <v>1120.0644691997913</v>
      </c>
      <c r="E56" s="17">
        <f>E46+E49+E51+E54</f>
        <v>1.7984336371223368</v>
      </c>
      <c r="F56" s="5"/>
    </row>
    <row r="57" spans="1:6" ht="6.75" customHeight="1">
      <c r="A57" s="26"/>
      <c r="B57" s="27"/>
      <c r="C57" s="28"/>
      <c r="D57" s="29"/>
      <c r="E57" s="30"/>
      <c r="F57" s="2"/>
    </row>
    <row r="58" spans="1:6" ht="105">
      <c r="A58" s="10" t="s">
        <v>25</v>
      </c>
      <c r="B58" s="10" t="s">
        <v>26</v>
      </c>
      <c r="C58" s="10" t="s">
        <v>27</v>
      </c>
      <c r="D58" s="10" t="s">
        <v>28</v>
      </c>
      <c r="E58" s="10" t="s">
        <v>29</v>
      </c>
      <c r="F58" s="10" t="s">
        <v>30</v>
      </c>
    </row>
    <row r="59" spans="1:6" ht="15">
      <c r="A59" s="10">
        <v>1</v>
      </c>
      <c r="B59" s="7" t="s">
        <v>110</v>
      </c>
      <c r="C59" s="10" t="s">
        <v>46</v>
      </c>
      <c r="D59" s="10">
        <v>1006</v>
      </c>
      <c r="E59" s="33">
        <f>D59/12/$D$41</f>
        <v>1.615285806037251</v>
      </c>
      <c r="F59" s="34">
        <v>2</v>
      </c>
    </row>
    <row r="60" spans="1:6" ht="15">
      <c r="A60" s="10"/>
      <c r="B60" s="36" t="s">
        <v>31</v>
      </c>
      <c r="C60" s="9"/>
      <c r="D60" s="37">
        <f>SUM(D59:D59)</f>
        <v>1006</v>
      </c>
      <c r="E60" s="38">
        <f>SUM(E59:E59)</f>
        <v>1.615285806037251</v>
      </c>
      <c r="F60" s="39"/>
    </row>
    <row r="61" spans="1:6" ht="15">
      <c r="A61" s="26"/>
      <c r="B61" s="27"/>
      <c r="C61" s="40"/>
      <c r="D61" s="40"/>
      <c r="E61" s="40"/>
      <c r="F61" s="40"/>
    </row>
    <row r="62" spans="1:6" ht="29.25">
      <c r="A62" s="26"/>
      <c r="B62" s="27" t="s">
        <v>32</v>
      </c>
      <c r="C62" s="41">
        <f>D56+D60</f>
        <v>2126.0644691997913</v>
      </c>
      <c r="D62" s="41"/>
      <c r="E62" s="41"/>
      <c r="F62" s="40"/>
    </row>
    <row r="63" spans="1:6" ht="15">
      <c r="A63" s="26"/>
      <c r="B63" s="27" t="s">
        <v>33</v>
      </c>
      <c r="C63" s="42">
        <f>E56+E60</f>
        <v>3.4137194431595876</v>
      </c>
      <c r="D63" s="40"/>
      <c r="E63" s="40"/>
      <c r="F63" s="40"/>
    </row>
    <row r="64" spans="1:6" ht="3" customHeight="1">
      <c r="A64" s="26"/>
      <c r="B64" s="27"/>
      <c r="C64" s="42"/>
      <c r="D64" s="40"/>
      <c r="E64" s="40"/>
      <c r="F64" s="40"/>
    </row>
    <row r="65" spans="1:6" ht="33" customHeight="1">
      <c r="A65" s="88" t="s">
        <v>111</v>
      </c>
      <c r="B65" s="88"/>
      <c r="C65" s="88"/>
      <c r="D65" s="88"/>
      <c r="E65" s="88"/>
      <c r="F65" s="88"/>
    </row>
    <row r="66" spans="1:6" ht="4.5" customHeight="1">
      <c r="A66" s="1"/>
      <c r="B66" s="1"/>
      <c r="C66" s="1"/>
      <c r="D66" s="2"/>
      <c r="E66" s="2"/>
      <c r="F66" s="2"/>
    </row>
    <row r="67" spans="1:6" ht="85.5">
      <c r="A67" s="7"/>
      <c r="B67" s="8" t="s">
        <v>1</v>
      </c>
      <c r="C67" s="8" t="s">
        <v>2</v>
      </c>
      <c r="D67" s="8" t="s">
        <v>3</v>
      </c>
      <c r="E67" s="8" t="s">
        <v>4</v>
      </c>
      <c r="F67" s="2"/>
    </row>
    <row r="68" spans="1:5" ht="30" customHeight="1">
      <c r="A68" s="89" t="s">
        <v>123</v>
      </c>
      <c r="B68" s="89"/>
      <c r="C68" s="89"/>
      <c r="D68" s="17">
        <f>D69</f>
        <v>6.228</v>
      </c>
      <c r="E68" s="17">
        <f>E69</f>
        <v>0.01</v>
      </c>
    </row>
    <row r="69" spans="1:5" ht="30">
      <c r="A69" s="12" t="s">
        <v>5</v>
      </c>
      <c r="B69" s="43" t="s">
        <v>35</v>
      </c>
      <c r="C69" s="43" t="s">
        <v>42</v>
      </c>
      <c r="D69" s="15">
        <f>E69*$D$41*12</f>
        <v>6.228</v>
      </c>
      <c r="E69" s="44">
        <v>0.01</v>
      </c>
    </row>
    <row r="70" spans="1:5" ht="30" customHeight="1">
      <c r="A70" s="89" t="s">
        <v>102</v>
      </c>
      <c r="B70" s="89"/>
      <c r="C70" s="89"/>
      <c r="D70" s="17">
        <f>D71</f>
        <v>37.367999999999995</v>
      </c>
      <c r="E70" s="17">
        <f>E71</f>
        <v>0.06</v>
      </c>
    </row>
    <row r="71" spans="1:5" ht="15">
      <c r="A71" s="12" t="s">
        <v>34</v>
      </c>
      <c r="B71" s="45" t="s">
        <v>9</v>
      </c>
      <c r="C71" s="7" t="s">
        <v>42</v>
      </c>
      <c r="D71" s="15">
        <f>E71*$D$41*12</f>
        <v>37.367999999999995</v>
      </c>
      <c r="E71" s="16">
        <v>0.06</v>
      </c>
    </row>
    <row r="72" spans="1:6" ht="15">
      <c r="A72" s="8"/>
      <c r="B72" s="24" t="s">
        <v>24</v>
      </c>
      <c r="C72" s="24"/>
      <c r="D72" s="25">
        <f>D68+D70</f>
        <v>43.596</v>
      </c>
      <c r="E72" s="17">
        <f>E68+E70</f>
        <v>0.06999999999999999</v>
      </c>
      <c r="F72" s="5"/>
    </row>
    <row r="73" spans="1:6" ht="6.75" customHeight="1">
      <c r="A73" s="2"/>
      <c r="B73" s="2"/>
      <c r="C73" s="2"/>
      <c r="D73" s="2"/>
      <c r="E73" s="2"/>
      <c r="F73" s="2"/>
    </row>
    <row r="74" spans="1:6" ht="5.25" customHeight="1">
      <c r="A74" s="31"/>
      <c r="B74" s="31"/>
      <c r="C74" s="31"/>
      <c r="D74" s="31"/>
      <c r="E74" s="31"/>
      <c r="F74" s="32"/>
    </row>
    <row r="75" spans="1:6" ht="105">
      <c r="A75" s="10" t="s">
        <v>25</v>
      </c>
      <c r="B75" s="10" t="s">
        <v>26</v>
      </c>
      <c r="C75" s="10" t="s">
        <v>27</v>
      </c>
      <c r="D75" s="10" t="s">
        <v>28</v>
      </c>
      <c r="E75" s="10" t="s">
        <v>36</v>
      </c>
      <c r="F75" s="10" t="s">
        <v>30</v>
      </c>
    </row>
    <row r="76" spans="1:6" ht="15">
      <c r="A76" s="10">
        <v>1</v>
      </c>
      <c r="B76" s="7" t="s">
        <v>110</v>
      </c>
      <c r="C76" s="10" t="s">
        <v>46</v>
      </c>
      <c r="D76" s="10">
        <v>1006</v>
      </c>
      <c r="E76" s="33">
        <f>D76/12/$D$41</f>
        <v>1.615285806037251</v>
      </c>
      <c r="F76" s="34">
        <v>2</v>
      </c>
    </row>
    <row r="77" spans="1:6" ht="15">
      <c r="A77" s="47"/>
      <c r="B77" s="47" t="s">
        <v>31</v>
      </c>
      <c r="C77" s="47"/>
      <c r="D77" s="48">
        <f>SUM(D76:D76)</f>
        <v>1006</v>
      </c>
      <c r="E77" s="49">
        <f>SUM(E76:E76)</f>
        <v>1.615285806037251</v>
      </c>
      <c r="F77" s="47"/>
    </row>
    <row r="78" ht="9" customHeight="1"/>
    <row r="79" ht="7.5" customHeight="1"/>
    <row r="80" spans="2:3" ht="43.5">
      <c r="B80" s="27" t="s">
        <v>89</v>
      </c>
      <c r="C80" s="58">
        <f>C23+C62</f>
        <v>5119.264023647667</v>
      </c>
    </row>
  </sheetData>
  <mergeCells count="16">
    <mergeCell ref="A4:E4"/>
    <mergeCell ref="A7:C7"/>
    <mergeCell ref="A10:C10"/>
    <mergeCell ref="A43:E43"/>
    <mergeCell ref="A12:C12"/>
    <mergeCell ref="A31:C31"/>
    <mergeCell ref="A15:C15"/>
    <mergeCell ref="A26:F26"/>
    <mergeCell ref="A29:C29"/>
    <mergeCell ref="A65:F65"/>
    <mergeCell ref="A68:C68"/>
    <mergeCell ref="A70:C70"/>
    <mergeCell ref="A46:C46"/>
    <mergeCell ref="A49:C49"/>
    <mergeCell ref="A51:C51"/>
    <mergeCell ref="A54:C54"/>
  </mergeCells>
  <printOptions/>
  <pageMargins left="0.7874015748031497" right="0.2362204724409449" top="0.5905511811023623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22">
      <selection activeCell="A29" sqref="A29:C29"/>
    </sheetView>
  </sheetViews>
  <sheetFormatPr defaultColWidth="9.140625" defaultRowHeight="12.75"/>
  <cols>
    <col min="1" max="1" width="3.421875" style="3" customWidth="1"/>
    <col min="2" max="2" width="40.8515625" style="3" customWidth="1"/>
    <col min="3" max="3" width="17.421875" style="3" customWidth="1"/>
    <col min="4" max="4" width="11.28125" style="3" customWidth="1"/>
    <col min="5" max="5" width="11.8515625" style="3" customWidth="1"/>
    <col min="6" max="6" width="8.57421875" style="3" customWidth="1"/>
    <col min="7" max="16384" width="9.140625" style="3" customWidth="1"/>
  </cols>
  <sheetData>
    <row r="1" ht="15">
      <c r="B1" s="56" t="s">
        <v>64</v>
      </c>
    </row>
    <row r="2" spans="1:6" ht="24" customHeight="1">
      <c r="A2" s="2"/>
      <c r="B2" s="1" t="s">
        <v>114</v>
      </c>
      <c r="C2" s="4"/>
      <c r="D2" s="50">
        <v>46.4</v>
      </c>
      <c r="E2" s="5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40.5" customHeight="1">
      <c r="A4" s="88" t="s">
        <v>109</v>
      </c>
      <c r="B4" s="88"/>
      <c r="C4" s="88"/>
      <c r="D4" s="88"/>
      <c r="E4" s="88"/>
      <c r="F4" s="2"/>
    </row>
    <row r="5" spans="1:6" ht="15">
      <c r="A5" s="1"/>
      <c r="B5" s="1"/>
      <c r="C5" s="1"/>
      <c r="D5" s="1"/>
      <c r="E5" s="1"/>
      <c r="F5" s="2"/>
    </row>
    <row r="6" spans="1:6" ht="85.5">
      <c r="A6" s="7"/>
      <c r="B6" s="8" t="s">
        <v>1</v>
      </c>
      <c r="C6" s="8" t="s">
        <v>2</v>
      </c>
      <c r="D6" s="8" t="s">
        <v>3</v>
      </c>
      <c r="E6" s="8" t="s">
        <v>4</v>
      </c>
      <c r="F6" s="2"/>
    </row>
    <row r="7" spans="1:7" ht="15">
      <c r="A7" s="90" t="s">
        <v>37</v>
      </c>
      <c r="B7" s="91"/>
      <c r="C7" s="92"/>
      <c r="D7" s="17">
        <f>SUM(D8:D9)</f>
        <v>269.1424876933133</v>
      </c>
      <c r="E7" s="17">
        <f>SUM(E8:E9)</f>
        <v>0.4833737207135655</v>
      </c>
      <c r="F7" s="20"/>
      <c r="G7" s="19"/>
    </row>
    <row r="8" spans="1:7" ht="15.75" customHeight="1">
      <c r="A8" s="12">
        <v>1</v>
      </c>
      <c r="B8" s="7" t="s">
        <v>11</v>
      </c>
      <c r="C8" s="14" t="s">
        <v>12</v>
      </c>
      <c r="D8" s="15">
        <f>E8*$D$2*12</f>
        <v>246.2419832509728</v>
      </c>
      <c r="E8" s="21">
        <v>0.4422449411835</v>
      </c>
      <c r="F8" s="18"/>
      <c r="G8" s="19"/>
    </row>
    <row r="9" spans="1:7" ht="30">
      <c r="A9" s="12">
        <v>2</v>
      </c>
      <c r="B9" s="13" t="s">
        <v>13</v>
      </c>
      <c r="C9" s="13" t="s">
        <v>14</v>
      </c>
      <c r="D9" s="15">
        <f>E9*$D$2*12</f>
        <v>22.90050444234047</v>
      </c>
      <c r="E9" s="21">
        <v>0.0411287795300655</v>
      </c>
      <c r="F9" s="18"/>
      <c r="G9" s="19"/>
    </row>
    <row r="10" spans="1:7" ht="29.25" customHeight="1">
      <c r="A10" s="90" t="s">
        <v>103</v>
      </c>
      <c r="B10" s="93"/>
      <c r="C10" s="94"/>
      <c r="D10" s="22">
        <f>SUM(D11:D11)</f>
        <v>17.493366012269494</v>
      </c>
      <c r="E10" s="22">
        <f>SUM(E11:E11)</f>
        <v>0.0314176832116909</v>
      </c>
      <c r="F10" s="18"/>
      <c r="G10" s="19"/>
    </row>
    <row r="11" spans="1:6" ht="75" customHeight="1">
      <c r="A11" s="12">
        <v>3</v>
      </c>
      <c r="B11" s="13" t="s">
        <v>38</v>
      </c>
      <c r="C11" s="13" t="s">
        <v>7</v>
      </c>
      <c r="D11" s="15">
        <f>E11*12*$D$2</f>
        <v>17.493366012269494</v>
      </c>
      <c r="E11" s="15">
        <v>0.0314176832116909</v>
      </c>
      <c r="F11" s="2"/>
    </row>
    <row r="12" spans="1:9" ht="15">
      <c r="A12" s="95" t="s">
        <v>39</v>
      </c>
      <c r="B12" s="96"/>
      <c r="C12" s="96"/>
      <c r="D12" s="11">
        <f>SUM(D13:D14)</f>
        <v>668.7991653940819</v>
      </c>
      <c r="E12" s="11">
        <f>SUM(E13:E14)</f>
        <v>1.2011479263543139</v>
      </c>
      <c r="F12" s="2"/>
      <c r="G12" s="51"/>
      <c r="H12" s="51"/>
      <c r="I12" s="52"/>
    </row>
    <row r="13" spans="1:9" ht="61.5" customHeight="1">
      <c r="A13" s="12">
        <v>4</v>
      </c>
      <c r="B13" s="13" t="s">
        <v>43</v>
      </c>
      <c r="C13" s="13" t="s">
        <v>7</v>
      </c>
      <c r="D13" s="15">
        <f>E13*12*$D$2</f>
        <v>100.70765701678445</v>
      </c>
      <c r="E13" s="15">
        <f>0.0836268703481988+0.097241766535394</f>
        <v>0.18086863688359278</v>
      </c>
      <c r="F13" s="2"/>
      <c r="G13" s="51"/>
      <c r="H13" s="51"/>
      <c r="I13" s="52"/>
    </row>
    <row r="14" spans="1:9" ht="75">
      <c r="A14" s="12">
        <v>5</v>
      </c>
      <c r="B14" s="13" t="s">
        <v>19</v>
      </c>
      <c r="C14" s="13" t="s">
        <v>40</v>
      </c>
      <c r="D14" s="15">
        <f>E14*12*$D$2</f>
        <v>568.0915083772975</v>
      </c>
      <c r="E14" s="21">
        <f>0.907756174870721+0.1125231146</f>
        <v>1.020279289470721</v>
      </c>
      <c r="F14" s="2"/>
      <c r="G14" s="54"/>
      <c r="H14" s="54"/>
      <c r="I14" s="54"/>
    </row>
    <row r="15" spans="1:9" ht="15">
      <c r="A15" s="95" t="s">
        <v>41</v>
      </c>
      <c r="B15" s="95"/>
      <c r="C15" s="95"/>
      <c r="D15" s="23">
        <f>SUM(D16)</f>
        <v>84.51973134554765</v>
      </c>
      <c r="E15" s="22">
        <f>SUM(E16)</f>
        <v>0.15179549451427382</v>
      </c>
      <c r="F15" s="2"/>
      <c r="G15" s="54"/>
      <c r="H15" s="54"/>
      <c r="I15" s="54"/>
    </row>
    <row r="16" spans="1:6" ht="15">
      <c r="A16" s="12">
        <v>6</v>
      </c>
      <c r="B16" s="13" t="s">
        <v>21</v>
      </c>
      <c r="C16" s="13" t="s">
        <v>22</v>
      </c>
      <c r="D16" s="15">
        <f>E16*12*$D$2</f>
        <v>84.51973134554765</v>
      </c>
      <c r="E16" s="21">
        <f>0.0205454945142738+0.13125</f>
        <v>0.15179549451427382</v>
      </c>
      <c r="F16" s="2"/>
    </row>
    <row r="17" spans="1:6" ht="15">
      <c r="A17" s="8"/>
      <c r="B17" s="24" t="s">
        <v>24</v>
      </c>
      <c r="C17" s="24"/>
      <c r="D17" s="25">
        <f>D7+D10+D12+D15</f>
        <v>1039.9547504452123</v>
      </c>
      <c r="E17" s="17">
        <f>E7+E10+E12+E15</f>
        <v>1.8677348247938441</v>
      </c>
      <c r="F17" s="5"/>
    </row>
    <row r="18" spans="1:6" ht="15">
      <c r="A18" s="26"/>
      <c r="B18" s="27"/>
      <c r="C18" s="28"/>
      <c r="D18" s="29"/>
      <c r="E18" s="30"/>
      <c r="F18" s="2"/>
    </row>
    <row r="19" spans="1:6" ht="105">
      <c r="A19" s="10" t="s">
        <v>25</v>
      </c>
      <c r="B19" s="10" t="s">
        <v>26</v>
      </c>
      <c r="C19" s="10" t="s">
        <v>27</v>
      </c>
      <c r="D19" s="10" t="s">
        <v>28</v>
      </c>
      <c r="E19" s="10" t="s">
        <v>29</v>
      </c>
      <c r="F19" s="10" t="s">
        <v>30</v>
      </c>
    </row>
    <row r="20" spans="1:6" ht="15">
      <c r="A20" s="10">
        <v>1</v>
      </c>
      <c r="B20" s="7" t="s">
        <v>110</v>
      </c>
      <c r="C20" s="10" t="s">
        <v>46</v>
      </c>
      <c r="D20" s="10">
        <v>1006</v>
      </c>
      <c r="E20" s="33">
        <f>D20/12/$D$2</f>
        <v>1.8067528735632183</v>
      </c>
      <c r="F20" s="34">
        <v>2</v>
      </c>
    </row>
    <row r="21" spans="1:6" ht="15">
      <c r="A21" s="10"/>
      <c r="B21" s="36" t="s">
        <v>31</v>
      </c>
      <c r="C21" s="9"/>
      <c r="D21" s="37">
        <f>SUM(D20:D20)</f>
        <v>1006</v>
      </c>
      <c r="E21" s="38">
        <f>SUM(E20:E20)</f>
        <v>1.8067528735632183</v>
      </c>
      <c r="F21" s="39"/>
    </row>
    <row r="22" spans="1:6" ht="15">
      <c r="A22" s="26"/>
      <c r="B22" s="27"/>
      <c r="C22" s="40"/>
      <c r="D22" s="40"/>
      <c r="E22" s="40"/>
      <c r="F22" s="40"/>
    </row>
    <row r="23" spans="1:6" ht="29.25">
      <c r="A23" s="26"/>
      <c r="B23" s="27" t="s">
        <v>32</v>
      </c>
      <c r="C23" s="41">
        <f>D17+D21</f>
        <v>2045.9547504452123</v>
      </c>
      <c r="D23" s="41"/>
      <c r="E23" s="41"/>
      <c r="F23" s="40"/>
    </row>
    <row r="24" spans="1:6" ht="15">
      <c r="A24" s="26"/>
      <c r="B24" s="27" t="s">
        <v>33</v>
      </c>
      <c r="C24" s="42">
        <f>E17+E21</f>
        <v>3.6744876983570625</v>
      </c>
      <c r="D24" s="40"/>
      <c r="E24" s="40"/>
      <c r="F24" s="40"/>
    </row>
    <row r="25" spans="1:6" ht="3" customHeight="1">
      <c r="A25" s="26"/>
      <c r="B25" s="27"/>
      <c r="C25" s="42"/>
      <c r="D25" s="40"/>
      <c r="E25" s="40"/>
      <c r="F25" s="40"/>
    </row>
    <row r="26" spans="1:6" ht="33" customHeight="1">
      <c r="A26" s="88" t="s">
        <v>111</v>
      </c>
      <c r="B26" s="88"/>
      <c r="C26" s="88"/>
      <c r="D26" s="88"/>
      <c r="E26" s="88"/>
      <c r="F26" s="88"/>
    </row>
    <row r="27" spans="1:6" ht="15">
      <c r="A27" s="1"/>
      <c r="B27" s="1"/>
      <c r="C27" s="1"/>
      <c r="D27" s="2"/>
      <c r="E27" s="2"/>
      <c r="F27" s="2"/>
    </row>
    <row r="28" spans="1:6" ht="85.5">
      <c r="A28" s="7"/>
      <c r="B28" s="8" t="s">
        <v>1</v>
      </c>
      <c r="C28" s="8" t="s">
        <v>2</v>
      </c>
      <c r="D28" s="8" t="s">
        <v>3</v>
      </c>
      <c r="E28" s="8" t="s">
        <v>4</v>
      </c>
      <c r="F28" s="2"/>
    </row>
    <row r="29" spans="1:5" ht="30" customHeight="1">
      <c r="A29" s="89" t="s">
        <v>123</v>
      </c>
      <c r="B29" s="89"/>
      <c r="C29" s="89"/>
      <c r="D29" s="17">
        <f>D30</f>
        <v>5.568</v>
      </c>
      <c r="E29" s="17">
        <f>E30</f>
        <v>0.01</v>
      </c>
    </row>
    <row r="30" spans="1:5" ht="30">
      <c r="A30" s="12" t="s">
        <v>5</v>
      </c>
      <c r="B30" s="43" t="s">
        <v>35</v>
      </c>
      <c r="C30" s="43" t="s">
        <v>42</v>
      </c>
      <c r="D30" s="15">
        <f>E30*12*$D$2</f>
        <v>5.568</v>
      </c>
      <c r="E30" s="44">
        <v>0.01</v>
      </c>
    </row>
    <row r="31" spans="1:5" ht="30" customHeight="1">
      <c r="A31" s="89" t="s">
        <v>102</v>
      </c>
      <c r="B31" s="89"/>
      <c r="C31" s="89"/>
      <c r="D31" s="17">
        <f>D32</f>
        <v>33.408</v>
      </c>
      <c r="E31" s="17">
        <f>E32</f>
        <v>0.06</v>
      </c>
    </row>
    <row r="32" spans="1:5" ht="15">
      <c r="A32" s="12" t="s">
        <v>34</v>
      </c>
      <c r="B32" s="45" t="s">
        <v>9</v>
      </c>
      <c r="C32" s="7" t="s">
        <v>42</v>
      </c>
      <c r="D32" s="15">
        <f>E32*$D$2*12</f>
        <v>33.408</v>
      </c>
      <c r="E32" s="16">
        <v>0.06</v>
      </c>
    </row>
    <row r="33" spans="1:6" ht="15">
      <c r="A33" s="8"/>
      <c r="B33" s="24" t="s">
        <v>24</v>
      </c>
      <c r="C33" s="24"/>
      <c r="D33" s="25">
        <f>D29+D31</f>
        <v>38.976</v>
      </c>
      <c r="E33" s="17">
        <f>E29+E31</f>
        <v>0.06999999999999999</v>
      </c>
      <c r="F33" s="5"/>
    </row>
    <row r="34" spans="1:6" ht="15">
      <c r="A34" s="2"/>
      <c r="B34" s="2"/>
      <c r="C34" s="2"/>
      <c r="D34" s="2"/>
      <c r="E34" s="2"/>
      <c r="F34" s="2"/>
    </row>
    <row r="35" spans="1:6" ht="15">
      <c r="A35" s="31"/>
      <c r="B35" s="31"/>
      <c r="C35" s="31"/>
      <c r="D35" s="31"/>
      <c r="E35" s="31"/>
      <c r="F35" s="32"/>
    </row>
    <row r="36" spans="1:6" ht="105">
      <c r="A36" s="10" t="s">
        <v>25</v>
      </c>
      <c r="B36" s="10" t="s">
        <v>26</v>
      </c>
      <c r="C36" s="10" t="s">
        <v>27</v>
      </c>
      <c r="D36" s="10" t="s">
        <v>28</v>
      </c>
      <c r="E36" s="10" t="s">
        <v>36</v>
      </c>
      <c r="F36" s="10" t="s">
        <v>30</v>
      </c>
    </row>
    <row r="37" spans="1:6" ht="15">
      <c r="A37" s="10">
        <v>1</v>
      </c>
      <c r="B37" s="7" t="s">
        <v>110</v>
      </c>
      <c r="C37" s="10" t="s">
        <v>46</v>
      </c>
      <c r="D37" s="10">
        <v>1006</v>
      </c>
      <c r="E37" s="46">
        <f>D37/12/$D$2</f>
        <v>1.8067528735632183</v>
      </c>
      <c r="F37" s="34">
        <v>2</v>
      </c>
    </row>
    <row r="38" spans="1:6" ht="15">
      <c r="A38" s="47"/>
      <c r="B38" s="47" t="s">
        <v>31</v>
      </c>
      <c r="C38" s="47"/>
      <c r="D38" s="48">
        <f>SUM(D37:D37)</f>
        <v>1006</v>
      </c>
      <c r="E38" s="49">
        <f>SUM(E37:E37)</f>
        <v>1.8067528735632183</v>
      </c>
      <c r="F38" s="47"/>
    </row>
    <row r="42" spans="2:3" ht="43.5">
      <c r="B42" s="27" t="s">
        <v>90</v>
      </c>
      <c r="C42" s="58">
        <f>C23</f>
        <v>2045.9547504452123</v>
      </c>
    </row>
  </sheetData>
  <mergeCells count="8">
    <mergeCell ref="A31:C31"/>
    <mergeCell ref="A15:C15"/>
    <mergeCell ref="A26:F26"/>
    <mergeCell ref="A29:C29"/>
    <mergeCell ref="A4:E4"/>
    <mergeCell ref="A7:C7"/>
    <mergeCell ref="A10:C10"/>
    <mergeCell ref="A12:C12"/>
  </mergeCells>
  <printOptions/>
  <pageMargins left="0.7874015748031497" right="0.2362204724409449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22">
      <selection activeCell="A29" sqref="A29:C29"/>
    </sheetView>
  </sheetViews>
  <sheetFormatPr defaultColWidth="9.140625" defaultRowHeight="12.75"/>
  <cols>
    <col min="1" max="1" width="3.421875" style="3" customWidth="1"/>
    <col min="2" max="2" width="40.8515625" style="3" customWidth="1"/>
    <col min="3" max="3" width="17.421875" style="3" customWidth="1"/>
    <col min="4" max="4" width="11.28125" style="3" customWidth="1"/>
    <col min="5" max="5" width="11.8515625" style="3" customWidth="1"/>
    <col min="6" max="6" width="8.57421875" style="3" customWidth="1"/>
    <col min="7" max="16384" width="9.140625" style="3" customWidth="1"/>
  </cols>
  <sheetData>
    <row r="1" ht="15">
      <c r="B1" s="56" t="s">
        <v>65</v>
      </c>
    </row>
    <row r="2" spans="1:6" ht="24" customHeight="1">
      <c r="A2" s="2"/>
      <c r="B2" s="1" t="s">
        <v>115</v>
      </c>
      <c r="C2" s="4"/>
      <c r="D2" s="50">
        <v>46.3</v>
      </c>
      <c r="E2" s="5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40.5" customHeight="1">
      <c r="A4" s="88" t="s">
        <v>109</v>
      </c>
      <c r="B4" s="88"/>
      <c r="C4" s="88"/>
      <c r="D4" s="88"/>
      <c r="E4" s="88"/>
      <c r="F4" s="2"/>
    </row>
    <row r="5" spans="1:6" ht="15">
      <c r="A5" s="1"/>
      <c r="B5" s="1"/>
      <c r="C5" s="1"/>
      <c r="D5" s="1"/>
      <c r="E5" s="1"/>
      <c r="F5" s="2"/>
    </row>
    <row r="6" spans="1:6" ht="85.5">
      <c r="A6" s="7"/>
      <c r="B6" s="8" t="s">
        <v>1</v>
      </c>
      <c r="C6" s="8" t="s">
        <v>2</v>
      </c>
      <c r="D6" s="8" t="s">
        <v>3</v>
      </c>
      <c r="E6" s="8" t="s">
        <v>4</v>
      </c>
      <c r="F6" s="2"/>
    </row>
    <row r="7" spans="1:7" ht="15">
      <c r="A7" s="90" t="s">
        <v>37</v>
      </c>
      <c r="B7" s="91"/>
      <c r="C7" s="92"/>
      <c r="D7" s="17">
        <f>SUM(D8:D9)</f>
        <v>269.1424876933135</v>
      </c>
      <c r="E7" s="17">
        <f>SUM(E8:E9)</f>
        <v>0.4844177244300099</v>
      </c>
      <c r="F7" s="20"/>
      <c r="G7" s="19"/>
    </row>
    <row r="8" spans="1:7" ht="15.75" customHeight="1">
      <c r="A8" s="12">
        <v>1</v>
      </c>
      <c r="B8" s="7" t="s">
        <v>11</v>
      </c>
      <c r="C8" s="14" t="s">
        <v>12</v>
      </c>
      <c r="D8" s="15">
        <f>E8*$D$2*12</f>
        <v>246.24198325097302</v>
      </c>
      <c r="E8" s="21">
        <v>0.443200113842644</v>
      </c>
      <c r="F8" s="18"/>
      <c r="G8" s="19"/>
    </row>
    <row r="9" spans="1:7" ht="30">
      <c r="A9" s="12">
        <v>2</v>
      </c>
      <c r="B9" s="13" t="s">
        <v>13</v>
      </c>
      <c r="C9" s="13" t="s">
        <v>14</v>
      </c>
      <c r="D9" s="15">
        <f>E9*$D$2*12</f>
        <v>22.90050444234049</v>
      </c>
      <c r="E9" s="21">
        <v>0.0412176105873659</v>
      </c>
      <c r="F9" s="18"/>
      <c r="G9" s="19"/>
    </row>
    <row r="10" spans="1:7" ht="29.25" customHeight="1">
      <c r="A10" s="90" t="s">
        <v>103</v>
      </c>
      <c r="B10" s="93"/>
      <c r="C10" s="94"/>
      <c r="D10" s="22">
        <f>SUM(D11:D11)</f>
        <v>17.493366012269504</v>
      </c>
      <c r="E10" s="22">
        <f>SUM(E11:E11)</f>
        <v>0.0314855399788868</v>
      </c>
      <c r="F10" s="18"/>
      <c r="G10" s="19"/>
    </row>
    <row r="11" spans="1:6" ht="75" customHeight="1">
      <c r="A11" s="12">
        <v>3</v>
      </c>
      <c r="B11" s="13" t="s">
        <v>38</v>
      </c>
      <c r="C11" s="13" t="s">
        <v>7</v>
      </c>
      <c r="D11" s="15">
        <f>E11*12*$D$2</f>
        <v>17.493366012269504</v>
      </c>
      <c r="E11" s="15">
        <v>0.0314855399788868</v>
      </c>
      <c r="F11" s="2"/>
    </row>
    <row r="12" spans="1:9" ht="15">
      <c r="A12" s="95" t="s">
        <v>39</v>
      </c>
      <c r="B12" s="96"/>
      <c r="C12" s="96"/>
      <c r="D12" s="11">
        <f>SUM(D13:D14)</f>
        <v>667.3577878824563</v>
      </c>
      <c r="E12" s="11">
        <f>SUM(E13:E14)</f>
        <v>1.2011479263543128</v>
      </c>
      <c r="F12" s="2"/>
      <c r="G12" s="51"/>
      <c r="H12" s="51"/>
      <c r="I12" s="52"/>
    </row>
    <row r="13" spans="1:9" ht="61.5" customHeight="1">
      <c r="A13" s="12">
        <v>4</v>
      </c>
      <c r="B13" s="13" t="s">
        <v>43</v>
      </c>
      <c r="C13" s="13" t="s">
        <v>7</v>
      </c>
      <c r="D13" s="15">
        <f>E13*12*$D$2</f>
        <v>100.49061465252414</v>
      </c>
      <c r="E13" s="15">
        <f>0.0836268703481988+0.097241766535394</f>
        <v>0.18086863688359278</v>
      </c>
      <c r="F13" s="2"/>
      <c r="G13" s="51"/>
      <c r="H13" s="51"/>
      <c r="I13" s="52"/>
    </row>
    <row r="14" spans="1:9" ht="75">
      <c r="A14" s="12">
        <v>5</v>
      </c>
      <c r="B14" s="13" t="s">
        <v>19</v>
      </c>
      <c r="C14" s="13" t="s">
        <v>40</v>
      </c>
      <c r="D14" s="15">
        <f>E14*12*$D$2</f>
        <v>566.8671732299321</v>
      </c>
      <c r="E14" s="21">
        <f>0.90775617487072+0.1125231146</f>
        <v>1.02027928947072</v>
      </c>
      <c r="F14" s="2"/>
      <c r="G14" s="54"/>
      <c r="H14" s="54"/>
      <c r="I14" s="54"/>
    </row>
    <row r="15" spans="1:9" ht="15">
      <c r="A15" s="95" t="s">
        <v>41</v>
      </c>
      <c r="B15" s="95"/>
      <c r="C15" s="95"/>
      <c r="D15" s="23">
        <f>SUM(D16)</f>
        <v>84.50456851618031</v>
      </c>
      <c r="E15" s="22">
        <f>SUM(E16)</f>
        <v>0.152096055644673</v>
      </c>
      <c r="F15" s="2"/>
      <c r="G15" s="54"/>
      <c r="H15" s="54"/>
      <c r="I15" s="54"/>
    </row>
    <row r="16" spans="1:6" ht="15">
      <c r="A16" s="12">
        <v>6</v>
      </c>
      <c r="B16" s="13" t="s">
        <v>21</v>
      </c>
      <c r="C16" s="13" t="s">
        <v>22</v>
      </c>
      <c r="D16" s="15">
        <f>E16*12*$D$2</f>
        <v>84.50456851618031</v>
      </c>
      <c r="E16" s="21">
        <f>0.020562578322859+0.131533477321814</f>
        <v>0.152096055644673</v>
      </c>
      <c r="F16" s="2"/>
    </row>
    <row r="17" spans="1:6" ht="15">
      <c r="A17" s="8"/>
      <c r="B17" s="24" t="s">
        <v>24</v>
      </c>
      <c r="C17" s="24"/>
      <c r="D17" s="25">
        <f>D7+D10+D12+D15</f>
        <v>1038.4982101042197</v>
      </c>
      <c r="E17" s="17">
        <f>E7+E10+E12+E15</f>
        <v>1.8691472464078824</v>
      </c>
      <c r="F17" s="5"/>
    </row>
    <row r="18" spans="1:6" ht="15">
      <c r="A18" s="26"/>
      <c r="B18" s="27"/>
      <c r="C18" s="28"/>
      <c r="D18" s="29"/>
      <c r="E18" s="30"/>
      <c r="F18" s="2"/>
    </row>
    <row r="19" spans="1:6" ht="105">
      <c r="A19" s="10" t="s">
        <v>25</v>
      </c>
      <c r="B19" s="10" t="s">
        <v>26</v>
      </c>
      <c r="C19" s="10" t="s">
        <v>27</v>
      </c>
      <c r="D19" s="10" t="s">
        <v>28</v>
      </c>
      <c r="E19" s="10" t="s">
        <v>29</v>
      </c>
      <c r="F19" s="10" t="s">
        <v>30</v>
      </c>
    </row>
    <row r="20" spans="1:6" ht="15">
      <c r="A20" s="10">
        <v>1</v>
      </c>
      <c r="B20" s="7" t="s">
        <v>110</v>
      </c>
      <c r="C20" s="10" t="s">
        <v>46</v>
      </c>
      <c r="D20" s="10">
        <v>1006</v>
      </c>
      <c r="E20" s="33">
        <f>D20/12/$D$2</f>
        <v>1.810655147588193</v>
      </c>
      <c r="F20" s="34">
        <v>2</v>
      </c>
    </row>
    <row r="21" spans="1:6" ht="15">
      <c r="A21" s="10"/>
      <c r="B21" s="36" t="s">
        <v>31</v>
      </c>
      <c r="C21" s="9"/>
      <c r="D21" s="37">
        <f>SUM(D20:D20)</f>
        <v>1006</v>
      </c>
      <c r="E21" s="38">
        <f>SUM(E20:E20)</f>
        <v>1.810655147588193</v>
      </c>
      <c r="F21" s="39"/>
    </row>
    <row r="22" spans="1:6" ht="15">
      <c r="A22" s="26"/>
      <c r="B22" s="27"/>
      <c r="C22" s="40"/>
      <c r="D22" s="40"/>
      <c r="E22" s="40"/>
      <c r="F22" s="40"/>
    </row>
    <row r="23" spans="1:6" ht="29.25">
      <c r="A23" s="26"/>
      <c r="B23" s="27" t="s">
        <v>32</v>
      </c>
      <c r="C23" s="41">
        <f>D17+D21</f>
        <v>2044.4982101042197</v>
      </c>
      <c r="D23" s="41"/>
      <c r="E23" s="41"/>
      <c r="F23" s="40"/>
    </row>
    <row r="24" spans="1:6" ht="15">
      <c r="A24" s="26"/>
      <c r="B24" s="27" t="s">
        <v>33</v>
      </c>
      <c r="C24" s="42">
        <f>E17+E21</f>
        <v>3.6798023939960753</v>
      </c>
      <c r="D24" s="40"/>
      <c r="E24" s="40"/>
      <c r="F24" s="40"/>
    </row>
    <row r="25" spans="1:6" ht="3" customHeight="1">
      <c r="A25" s="26"/>
      <c r="B25" s="27"/>
      <c r="C25" s="42"/>
      <c r="D25" s="40"/>
      <c r="E25" s="40"/>
      <c r="F25" s="40"/>
    </row>
    <row r="26" spans="1:6" ht="33" customHeight="1">
      <c r="A26" s="88" t="s">
        <v>111</v>
      </c>
      <c r="B26" s="88"/>
      <c r="C26" s="88"/>
      <c r="D26" s="88"/>
      <c r="E26" s="88"/>
      <c r="F26" s="88"/>
    </row>
    <row r="27" spans="1:6" ht="15">
      <c r="A27" s="1"/>
      <c r="B27" s="1"/>
      <c r="C27" s="1"/>
      <c r="D27" s="2"/>
      <c r="E27" s="2"/>
      <c r="F27" s="2"/>
    </row>
    <row r="28" spans="1:6" ht="85.5">
      <c r="A28" s="7"/>
      <c r="B28" s="8" t="s">
        <v>1</v>
      </c>
      <c r="C28" s="8" t="s">
        <v>2</v>
      </c>
      <c r="D28" s="8" t="s">
        <v>3</v>
      </c>
      <c r="E28" s="8" t="s">
        <v>4</v>
      </c>
      <c r="F28" s="2"/>
    </row>
    <row r="29" spans="1:5" ht="30" customHeight="1">
      <c r="A29" s="89" t="s">
        <v>123</v>
      </c>
      <c r="B29" s="89"/>
      <c r="C29" s="89"/>
      <c r="D29" s="17">
        <f>D30</f>
        <v>5.555999999999999</v>
      </c>
      <c r="E29" s="17">
        <f>E30</f>
        <v>0.01</v>
      </c>
    </row>
    <row r="30" spans="1:5" ht="30">
      <c r="A30" s="12" t="s">
        <v>5</v>
      </c>
      <c r="B30" s="43" t="s">
        <v>35</v>
      </c>
      <c r="C30" s="43" t="s">
        <v>42</v>
      </c>
      <c r="D30" s="15">
        <f>E30*12*$D$2</f>
        <v>5.555999999999999</v>
      </c>
      <c r="E30" s="44">
        <v>0.01</v>
      </c>
    </row>
    <row r="31" spans="1:5" ht="30" customHeight="1">
      <c r="A31" s="89" t="s">
        <v>102</v>
      </c>
      <c r="B31" s="89"/>
      <c r="C31" s="89"/>
      <c r="D31" s="17">
        <f>D32</f>
        <v>33.336</v>
      </c>
      <c r="E31" s="17">
        <f>E32</f>
        <v>0.06</v>
      </c>
    </row>
    <row r="32" spans="1:5" ht="15">
      <c r="A32" s="12" t="s">
        <v>34</v>
      </c>
      <c r="B32" s="45" t="s">
        <v>9</v>
      </c>
      <c r="C32" s="7" t="s">
        <v>42</v>
      </c>
      <c r="D32" s="15">
        <f>E32*$D$2*12</f>
        <v>33.336</v>
      </c>
      <c r="E32" s="16">
        <v>0.06</v>
      </c>
    </row>
    <row r="33" spans="1:6" ht="15">
      <c r="A33" s="8"/>
      <c r="B33" s="24" t="s">
        <v>24</v>
      </c>
      <c r="C33" s="24"/>
      <c r="D33" s="25">
        <f>D29+D31</f>
        <v>38.891999999999996</v>
      </c>
      <c r="E33" s="17">
        <f>E29+E31</f>
        <v>0.06999999999999999</v>
      </c>
      <c r="F33" s="5"/>
    </row>
    <row r="34" spans="1:6" ht="15">
      <c r="A34" s="2"/>
      <c r="B34" s="2"/>
      <c r="C34" s="2"/>
      <c r="D34" s="2"/>
      <c r="E34" s="2"/>
      <c r="F34" s="2"/>
    </row>
    <row r="35" spans="1:6" ht="15">
      <c r="A35" s="31"/>
      <c r="B35" s="31"/>
      <c r="C35" s="31"/>
      <c r="D35" s="31"/>
      <c r="E35" s="31"/>
      <c r="F35" s="32"/>
    </row>
    <row r="36" spans="1:6" ht="105">
      <c r="A36" s="10" t="s">
        <v>25</v>
      </c>
      <c r="B36" s="10" t="s">
        <v>26</v>
      </c>
      <c r="C36" s="10" t="s">
        <v>27</v>
      </c>
      <c r="D36" s="10" t="s">
        <v>28</v>
      </c>
      <c r="E36" s="10" t="s">
        <v>36</v>
      </c>
      <c r="F36" s="10" t="s">
        <v>30</v>
      </c>
    </row>
    <row r="37" spans="1:6" ht="15">
      <c r="A37" s="10">
        <v>1</v>
      </c>
      <c r="B37" s="7" t="s">
        <v>110</v>
      </c>
      <c r="C37" s="10" t="s">
        <v>46</v>
      </c>
      <c r="D37" s="10">
        <v>1006</v>
      </c>
      <c r="E37" s="46">
        <f>D37/12/$D$2</f>
        <v>1.810655147588193</v>
      </c>
      <c r="F37" s="34">
        <v>2</v>
      </c>
    </row>
    <row r="38" spans="1:6" ht="15">
      <c r="A38" s="47"/>
      <c r="B38" s="47" t="s">
        <v>31</v>
      </c>
      <c r="C38" s="47"/>
      <c r="D38" s="48">
        <f>SUM(D37:D37)</f>
        <v>1006</v>
      </c>
      <c r="E38" s="49">
        <f>SUM(E37:E37)</f>
        <v>1.810655147588193</v>
      </c>
      <c r="F38" s="47"/>
    </row>
    <row r="42" spans="2:3" ht="43.5">
      <c r="B42" s="27" t="s">
        <v>91</v>
      </c>
      <c r="C42" s="58">
        <f>C23</f>
        <v>2044.4982101042197</v>
      </c>
    </row>
  </sheetData>
  <mergeCells count="8">
    <mergeCell ref="A4:E4"/>
    <mergeCell ref="A7:C7"/>
    <mergeCell ref="A10:C10"/>
    <mergeCell ref="A12:C12"/>
    <mergeCell ref="A31:C31"/>
    <mergeCell ref="A15:C15"/>
    <mergeCell ref="A26:F26"/>
    <mergeCell ref="A29:C29"/>
  </mergeCells>
  <printOptions/>
  <pageMargins left="0.7874015748031497" right="0.2362204724409449" top="0.5905511811023623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22">
      <selection activeCell="A29" sqref="A29:C29"/>
    </sheetView>
  </sheetViews>
  <sheetFormatPr defaultColWidth="9.140625" defaultRowHeight="12.75"/>
  <cols>
    <col min="1" max="1" width="3.421875" style="3" customWidth="1"/>
    <col min="2" max="2" width="40.8515625" style="3" customWidth="1"/>
    <col min="3" max="3" width="17.421875" style="3" customWidth="1"/>
    <col min="4" max="4" width="11.28125" style="3" customWidth="1"/>
    <col min="5" max="5" width="11.8515625" style="3" customWidth="1"/>
    <col min="6" max="6" width="8.57421875" style="3" customWidth="1"/>
    <col min="7" max="16384" width="9.140625" style="3" customWidth="1"/>
  </cols>
  <sheetData>
    <row r="1" ht="15">
      <c r="B1" s="56" t="s">
        <v>66</v>
      </c>
    </row>
    <row r="2" spans="1:6" ht="24" customHeight="1">
      <c r="A2" s="2"/>
      <c r="B2" s="1" t="s">
        <v>116</v>
      </c>
      <c r="C2" s="4"/>
      <c r="D2" s="57">
        <v>52</v>
      </c>
      <c r="E2" s="5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40.5" customHeight="1">
      <c r="A4" s="88" t="s">
        <v>109</v>
      </c>
      <c r="B4" s="88"/>
      <c r="C4" s="88"/>
      <c r="D4" s="88"/>
      <c r="E4" s="88"/>
      <c r="F4" s="2"/>
    </row>
    <row r="5" spans="1:6" ht="15">
      <c r="A5" s="1"/>
      <c r="B5" s="1"/>
      <c r="C5" s="1"/>
      <c r="D5" s="1"/>
      <c r="E5" s="1"/>
      <c r="F5" s="2"/>
    </row>
    <row r="6" spans="1:6" ht="85.5">
      <c r="A6" s="7"/>
      <c r="B6" s="8" t="s">
        <v>1</v>
      </c>
      <c r="C6" s="8" t="s">
        <v>2</v>
      </c>
      <c r="D6" s="8" t="s">
        <v>3</v>
      </c>
      <c r="E6" s="8" t="s">
        <v>4</v>
      </c>
      <c r="F6" s="2"/>
    </row>
    <row r="7" spans="1:7" ht="15">
      <c r="A7" s="90" t="s">
        <v>37</v>
      </c>
      <c r="B7" s="91"/>
      <c r="C7" s="92"/>
      <c r="D7" s="17">
        <f>SUM(D8:D9)</f>
        <v>269.1424876933133</v>
      </c>
      <c r="E7" s="17">
        <f>SUM(E8:E9)</f>
        <v>0.4313180892521046</v>
      </c>
      <c r="F7" s="20"/>
      <c r="G7" s="19"/>
    </row>
    <row r="8" spans="1:7" ht="15.75" customHeight="1">
      <c r="A8" s="12">
        <v>1</v>
      </c>
      <c r="B8" s="7" t="s">
        <v>11</v>
      </c>
      <c r="C8" s="14" t="s">
        <v>12</v>
      </c>
      <c r="D8" s="15">
        <f>E8*$D$2*12</f>
        <v>246.2419832509728</v>
      </c>
      <c r="E8" s="21">
        <v>0.3946185629022</v>
      </c>
      <c r="F8" s="18"/>
      <c r="G8" s="19"/>
    </row>
    <row r="9" spans="1:7" ht="30">
      <c r="A9" s="12">
        <v>2</v>
      </c>
      <c r="B9" s="13" t="s">
        <v>13</v>
      </c>
      <c r="C9" s="13" t="s">
        <v>14</v>
      </c>
      <c r="D9" s="15">
        <f>E9*$D$2*12</f>
        <v>22.90050444234047</v>
      </c>
      <c r="E9" s="21">
        <v>0.0366995263499046</v>
      </c>
      <c r="F9" s="18"/>
      <c r="G9" s="19"/>
    </row>
    <row r="10" spans="1:7" ht="29.25" customHeight="1">
      <c r="A10" s="90" t="s">
        <v>103</v>
      </c>
      <c r="B10" s="93"/>
      <c r="C10" s="94"/>
      <c r="D10" s="22">
        <f>SUM(D11:D11)</f>
        <v>17.49336601226947</v>
      </c>
      <c r="E10" s="22">
        <f>SUM(E11:E11)</f>
        <v>0.028034240404278</v>
      </c>
      <c r="F10" s="18"/>
      <c r="G10" s="19"/>
    </row>
    <row r="11" spans="1:6" ht="75" customHeight="1">
      <c r="A11" s="12">
        <v>3</v>
      </c>
      <c r="B11" s="13" t="s">
        <v>38</v>
      </c>
      <c r="C11" s="13" t="s">
        <v>7</v>
      </c>
      <c r="D11" s="15">
        <f>E11*12*$D$2</f>
        <v>17.49336601226947</v>
      </c>
      <c r="E11" s="15">
        <v>0.028034240404278</v>
      </c>
      <c r="F11" s="2"/>
    </row>
    <row r="12" spans="1:9" ht="15">
      <c r="A12" s="95" t="s">
        <v>39</v>
      </c>
      <c r="B12" s="96"/>
      <c r="C12" s="96"/>
      <c r="D12" s="11">
        <f>SUM(D13:D14)</f>
        <v>749.5163060450919</v>
      </c>
      <c r="E12" s="11">
        <f>SUM(E13:E14)</f>
        <v>1.2011479263543139</v>
      </c>
      <c r="F12" s="2"/>
      <c r="G12" s="51"/>
      <c r="H12" s="51"/>
      <c r="I12" s="52"/>
    </row>
    <row r="13" spans="1:9" ht="61.5" customHeight="1">
      <c r="A13" s="12">
        <v>4</v>
      </c>
      <c r="B13" s="13" t="s">
        <v>43</v>
      </c>
      <c r="C13" s="13" t="s">
        <v>7</v>
      </c>
      <c r="D13" s="15">
        <f>E13*12*$D$2</f>
        <v>112.86202941536196</v>
      </c>
      <c r="E13" s="15">
        <f>0.0836268703481988+0.0972417665353941</f>
        <v>0.1808686368835929</v>
      </c>
      <c r="F13" s="2"/>
      <c r="G13" s="51"/>
      <c r="H13" s="51"/>
      <c r="I13" s="52"/>
    </row>
    <row r="14" spans="1:9" ht="75">
      <c r="A14" s="12">
        <v>5</v>
      </c>
      <c r="B14" s="13" t="s">
        <v>19</v>
      </c>
      <c r="C14" s="13" t="s">
        <v>40</v>
      </c>
      <c r="D14" s="15">
        <f>E14*12*$D$2</f>
        <v>636.65427662973</v>
      </c>
      <c r="E14" s="21">
        <f>0.907756174870721+0.1125231146</f>
        <v>1.020279289470721</v>
      </c>
      <c r="F14" s="2"/>
      <c r="G14" s="54"/>
      <c r="H14" s="54"/>
      <c r="I14" s="54"/>
    </row>
    <row r="15" spans="1:9" ht="15">
      <c r="A15" s="95" t="s">
        <v>41</v>
      </c>
      <c r="B15" s="95"/>
      <c r="C15" s="95"/>
      <c r="D15" s="23">
        <f>SUM(D16)</f>
        <v>85.36884979010905</v>
      </c>
      <c r="E15" s="22">
        <f>SUM(E16)</f>
        <v>0.1368090541508158</v>
      </c>
      <c r="F15" s="2"/>
      <c r="G15" s="54"/>
      <c r="H15" s="54"/>
      <c r="I15" s="54"/>
    </row>
    <row r="16" spans="1:6" ht="15">
      <c r="A16" s="12">
        <v>6</v>
      </c>
      <c r="B16" s="13" t="s">
        <v>21</v>
      </c>
      <c r="C16" s="13" t="s">
        <v>22</v>
      </c>
      <c r="D16" s="15">
        <f>E16*12*$D$2</f>
        <v>85.36884979010905</v>
      </c>
      <c r="E16" s="21">
        <f>0.0196936695354308+0.117115384615385</f>
        <v>0.1368090541508158</v>
      </c>
      <c r="F16" s="2"/>
    </row>
    <row r="17" spans="1:6" ht="15">
      <c r="A17" s="8"/>
      <c r="B17" s="24" t="s">
        <v>24</v>
      </c>
      <c r="C17" s="24"/>
      <c r="D17" s="25">
        <f>D7+D10+D12+D15</f>
        <v>1121.5210095407838</v>
      </c>
      <c r="E17" s="17">
        <f>E7+E10+E12+E15</f>
        <v>1.7973093101615123</v>
      </c>
      <c r="F17" s="5"/>
    </row>
    <row r="18" spans="1:6" ht="15">
      <c r="A18" s="26"/>
      <c r="B18" s="27"/>
      <c r="C18" s="28"/>
      <c r="D18" s="29"/>
      <c r="E18" s="30"/>
      <c r="F18" s="2"/>
    </row>
    <row r="19" spans="1:6" ht="105">
      <c r="A19" s="10" t="s">
        <v>25</v>
      </c>
      <c r="B19" s="10" t="s">
        <v>26</v>
      </c>
      <c r="C19" s="10" t="s">
        <v>27</v>
      </c>
      <c r="D19" s="10" t="s">
        <v>28</v>
      </c>
      <c r="E19" s="10" t="s">
        <v>29</v>
      </c>
      <c r="F19" s="10" t="s">
        <v>30</v>
      </c>
    </row>
    <row r="20" spans="1:6" ht="15">
      <c r="A20" s="10">
        <v>1</v>
      </c>
      <c r="B20" s="7" t="s">
        <v>110</v>
      </c>
      <c r="C20" s="10" t="s">
        <v>46</v>
      </c>
      <c r="D20" s="10">
        <v>1006</v>
      </c>
      <c r="E20" s="33">
        <f>D20/12/$D$2</f>
        <v>1.612179487179487</v>
      </c>
      <c r="F20" s="34">
        <v>2</v>
      </c>
    </row>
    <row r="21" spans="1:6" ht="15">
      <c r="A21" s="10"/>
      <c r="B21" s="36" t="s">
        <v>31</v>
      </c>
      <c r="C21" s="9"/>
      <c r="D21" s="37">
        <f>SUM(D20:D20)</f>
        <v>1006</v>
      </c>
      <c r="E21" s="38">
        <f>SUM(E20:E20)</f>
        <v>1.612179487179487</v>
      </c>
      <c r="F21" s="39"/>
    </row>
    <row r="22" spans="1:6" ht="15">
      <c r="A22" s="26"/>
      <c r="B22" s="27"/>
      <c r="C22" s="40"/>
      <c r="D22" s="40"/>
      <c r="E22" s="40"/>
      <c r="F22" s="40"/>
    </row>
    <row r="23" spans="1:6" ht="29.25">
      <c r="A23" s="26"/>
      <c r="B23" s="27" t="s">
        <v>32</v>
      </c>
      <c r="C23" s="41">
        <f>D17+D21</f>
        <v>2127.521009540784</v>
      </c>
      <c r="D23" s="41"/>
      <c r="E23" s="41"/>
      <c r="F23" s="40"/>
    </row>
    <row r="24" spans="1:6" ht="15">
      <c r="A24" s="26"/>
      <c r="B24" s="27" t="s">
        <v>33</v>
      </c>
      <c r="C24" s="42">
        <f>E17+E21</f>
        <v>3.409488797340999</v>
      </c>
      <c r="D24" s="40"/>
      <c r="E24" s="40"/>
      <c r="F24" s="40"/>
    </row>
    <row r="25" spans="1:6" ht="3" customHeight="1">
      <c r="A25" s="26"/>
      <c r="B25" s="27"/>
      <c r="C25" s="42"/>
      <c r="D25" s="40"/>
      <c r="E25" s="40"/>
      <c r="F25" s="40"/>
    </row>
    <row r="26" spans="1:6" ht="33" customHeight="1">
      <c r="A26" s="88" t="s">
        <v>111</v>
      </c>
      <c r="B26" s="88"/>
      <c r="C26" s="88"/>
      <c r="D26" s="88"/>
      <c r="E26" s="88"/>
      <c r="F26" s="88"/>
    </row>
    <row r="27" spans="1:6" ht="15">
      <c r="A27" s="1"/>
      <c r="B27" s="1"/>
      <c r="C27" s="1"/>
      <c r="D27" s="2"/>
      <c r="E27" s="2"/>
      <c r="F27" s="2"/>
    </row>
    <row r="28" spans="1:6" ht="85.5">
      <c r="A28" s="7"/>
      <c r="B28" s="8" t="s">
        <v>1</v>
      </c>
      <c r="C28" s="8" t="s">
        <v>2</v>
      </c>
      <c r="D28" s="8" t="s">
        <v>3</v>
      </c>
      <c r="E28" s="8" t="s">
        <v>4</v>
      </c>
      <c r="F28" s="2"/>
    </row>
    <row r="29" spans="1:5" ht="30" customHeight="1">
      <c r="A29" s="89" t="s">
        <v>123</v>
      </c>
      <c r="B29" s="89"/>
      <c r="C29" s="89"/>
      <c r="D29" s="17">
        <f>D30</f>
        <v>6.24</v>
      </c>
      <c r="E29" s="17">
        <f>E30</f>
        <v>0.01</v>
      </c>
    </row>
    <row r="30" spans="1:5" ht="30">
      <c r="A30" s="12" t="s">
        <v>5</v>
      </c>
      <c r="B30" s="43" t="s">
        <v>35</v>
      </c>
      <c r="C30" s="43" t="s">
        <v>42</v>
      </c>
      <c r="D30" s="15">
        <f>E30*12*$D$2</f>
        <v>6.24</v>
      </c>
      <c r="E30" s="44">
        <v>0.01</v>
      </c>
    </row>
    <row r="31" spans="1:5" ht="30" customHeight="1">
      <c r="A31" s="89" t="s">
        <v>102</v>
      </c>
      <c r="B31" s="89"/>
      <c r="C31" s="89"/>
      <c r="D31" s="17">
        <f>D32</f>
        <v>37.44</v>
      </c>
      <c r="E31" s="17">
        <f>E32</f>
        <v>0.06</v>
      </c>
    </row>
    <row r="32" spans="1:5" ht="15">
      <c r="A32" s="12" t="s">
        <v>34</v>
      </c>
      <c r="B32" s="45" t="s">
        <v>9</v>
      </c>
      <c r="C32" s="7" t="s">
        <v>42</v>
      </c>
      <c r="D32" s="15">
        <f>E32*$D$2*12</f>
        <v>37.44</v>
      </c>
      <c r="E32" s="16">
        <v>0.06</v>
      </c>
    </row>
    <row r="33" spans="1:6" ht="15">
      <c r="A33" s="8"/>
      <c r="B33" s="24" t="s">
        <v>24</v>
      </c>
      <c r="C33" s="24"/>
      <c r="D33" s="25">
        <f>D29+D31</f>
        <v>43.68</v>
      </c>
      <c r="E33" s="17">
        <f>E29+E31</f>
        <v>0.06999999999999999</v>
      </c>
      <c r="F33" s="5"/>
    </row>
    <row r="34" spans="1:6" ht="15">
      <c r="A34" s="2"/>
      <c r="B34" s="2"/>
      <c r="C34" s="2"/>
      <c r="D34" s="2"/>
      <c r="E34" s="2"/>
      <c r="F34" s="2"/>
    </row>
    <row r="35" spans="1:6" ht="15">
      <c r="A35" s="31"/>
      <c r="B35" s="31"/>
      <c r="C35" s="31"/>
      <c r="D35" s="31"/>
      <c r="E35" s="31"/>
      <c r="F35" s="32"/>
    </row>
    <row r="36" spans="1:6" ht="105">
      <c r="A36" s="10" t="s">
        <v>25</v>
      </c>
      <c r="B36" s="10" t="s">
        <v>26</v>
      </c>
      <c r="C36" s="10" t="s">
        <v>27</v>
      </c>
      <c r="D36" s="10" t="s">
        <v>28</v>
      </c>
      <c r="E36" s="10" t="s">
        <v>36</v>
      </c>
      <c r="F36" s="10" t="s">
        <v>30</v>
      </c>
    </row>
    <row r="37" spans="1:6" ht="15">
      <c r="A37" s="10">
        <v>1</v>
      </c>
      <c r="B37" s="7" t="s">
        <v>110</v>
      </c>
      <c r="C37" s="10" t="s">
        <v>46</v>
      </c>
      <c r="D37" s="10">
        <v>1006</v>
      </c>
      <c r="E37" s="46">
        <f>D37/12/$D$2</f>
        <v>1.612179487179487</v>
      </c>
      <c r="F37" s="34">
        <v>2</v>
      </c>
    </row>
    <row r="38" spans="1:6" ht="15">
      <c r="A38" s="47"/>
      <c r="B38" s="47" t="s">
        <v>31</v>
      </c>
      <c r="C38" s="47"/>
      <c r="D38" s="48">
        <f>SUM(D37:D37)</f>
        <v>1006</v>
      </c>
      <c r="E38" s="49">
        <f>SUM(E37:E37)</f>
        <v>1.612179487179487</v>
      </c>
      <c r="F38" s="47"/>
    </row>
    <row r="42" spans="2:3" ht="43.5">
      <c r="B42" s="27" t="s">
        <v>92</v>
      </c>
      <c r="C42" s="58">
        <f>C23</f>
        <v>2127.521009540784</v>
      </c>
    </row>
  </sheetData>
  <mergeCells count="8">
    <mergeCell ref="A31:C31"/>
    <mergeCell ref="A15:C15"/>
    <mergeCell ref="A26:F26"/>
    <mergeCell ref="A29:C29"/>
    <mergeCell ref="A4:E4"/>
    <mergeCell ref="A7:C7"/>
    <mergeCell ref="A10:C10"/>
    <mergeCell ref="A12:C12"/>
  </mergeCells>
  <printOptions/>
  <pageMargins left="0.7874015748031497" right="0.2362204724409449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31">
      <selection activeCell="B37" sqref="B37:D37"/>
    </sheetView>
  </sheetViews>
  <sheetFormatPr defaultColWidth="9.140625" defaultRowHeight="12.75"/>
  <cols>
    <col min="1" max="1" width="3.421875" style="3" customWidth="1"/>
    <col min="2" max="2" width="40.421875" style="3" customWidth="1"/>
    <col min="3" max="3" width="17.421875" style="3" customWidth="1"/>
    <col min="4" max="4" width="11.28125" style="3" customWidth="1"/>
    <col min="5" max="5" width="12.57421875" style="3" customWidth="1"/>
    <col min="6" max="6" width="8.57421875" style="3" customWidth="1"/>
    <col min="7" max="16384" width="9.140625" style="3" customWidth="1"/>
  </cols>
  <sheetData>
    <row r="1" ht="15">
      <c r="B1" s="56" t="s">
        <v>52</v>
      </c>
    </row>
    <row r="2" spans="1:6" ht="24" customHeight="1">
      <c r="A2" s="2"/>
      <c r="B2" s="1" t="s">
        <v>199</v>
      </c>
      <c r="C2" s="4"/>
      <c r="D2" s="50">
        <v>55.9</v>
      </c>
      <c r="E2" s="5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40.5" customHeight="1">
      <c r="A4" s="88" t="s">
        <v>104</v>
      </c>
      <c r="B4" s="88"/>
      <c r="C4" s="88"/>
      <c r="D4" s="88"/>
      <c r="E4" s="88"/>
      <c r="F4" s="2"/>
    </row>
    <row r="5" spans="1:6" ht="15">
      <c r="A5" s="1"/>
      <c r="B5" s="1"/>
      <c r="C5" s="1"/>
      <c r="D5" s="1"/>
      <c r="E5" s="1"/>
      <c r="F5" s="2"/>
    </row>
    <row r="6" spans="1:6" ht="85.5">
      <c r="A6" s="7"/>
      <c r="B6" s="8" t="s">
        <v>1</v>
      </c>
      <c r="C6" s="8" t="s">
        <v>2</v>
      </c>
      <c r="D6" s="8" t="s">
        <v>3</v>
      </c>
      <c r="E6" s="8" t="s">
        <v>4</v>
      </c>
      <c r="F6" s="2"/>
    </row>
    <row r="7" spans="1:7" ht="15">
      <c r="A7" s="90" t="s">
        <v>37</v>
      </c>
      <c r="B7" s="91"/>
      <c r="C7" s="92"/>
      <c r="D7" s="17">
        <f>SUM(D8:D9)</f>
        <v>269.1424876933133</v>
      </c>
      <c r="E7" s="17">
        <f>SUM(E8:E9)</f>
        <v>0.40122612953684156</v>
      </c>
      <c r="F7" s="20"/>
      <c r="G7" s="19"/>
    </row>
    <row r="8" spans="1:7" ht="15.75" customHeight="1">
      <c r="A8" s="12">
        <v>1</v>
      </c>
      <c r="B8" s="7" t="s">
        <v>11</v>
      </c>
      <c r="C8" s="14" t="s">
        <v>12</v>
      </c>
      <c r="D8" s="15">
        <f>E8*$D$2*12</f>
        <v>246.2419832509728</v>
      </c>
      <c r="E8" s="55">
        <v>0.3670870352578605</v>
      </c>
      <c r="F8" s="18"/>
      <c r="G8" s="19"/>
    </row>
    <row r="9" spans="1:7" ht="30">
      <c r="A9" s="12">
        <v>2</v>
      </c>
      <c r="B9" s="13" t="s">
        <v>13</v>
      </c>
      <c r="C9" s="13" t="s">
        <v>14</v>
      </c>
      <c r="D9" s="15">
        <f>E9*$D$2*12</f>
        <v>22.900504442340473</v>
      </c>
      <c r="E9" s="55">
        <v>0.03413909427898103</v>
      </c>
      <c r="F9" s="18"/>
      <c r="G9" s="19"/>
    </row>
    <row r="10" spans="1:7" ht="29.25" customHeight="1">
      <c r="A10" s="90" t="s">
        <v>103</v>
      </c>
      <c r="B10" s="93"/>
      <c r="C10" s="94"/>
      <c r="D10" s="22">
        <f>SUM(D11:D11)</f>
        <v>17.493366012269497</v>
      </c>
      <c r="E10" s="22">
        <f>SUM(E11:E11)</f>
        <v>0.02607836316677027</v>
      </c>
      <c r="F10" s="18"/>
      <c r="G10" s="19"/>
    </row>
    <row r="11" spans="1:6" ht="75" customHeight="1">
      <c r="A11" s="12">
        <v>3</v>
      </c>
      <c r="B11" s="13" t="s">
        <v>38</v>
      </c>
      <c r="C11" s="13" t="s">
        <v>7</v>
      </c>
      <c r="D11" s="15">
        <f>E11*12*$D$2</f>
        <v>17.493366012269497</v>
      </c>
      <c r="E11" s="78">
        <v>0.02607836316677027</v>
      </c>
      <c r="F11" s="2"/>
    </row>
    <row r="12" spans="1:9" ht="15">
      <c r="A12" s="95" t="s">
        <v>39</v>
      </c>
      <c r="B12" s="96"/>
      <c r="C12" s="96"/>
      <c r="D12" s="11">
        <f>SUM(D13:D14)</f>
        <v>792.0122746832935</v>
      </c>
      <c r="E12" s="11">
        <f>SUM(E13:E14)</f>
        <v>1.180698083904731</v>
      </c>
      <c r="F12" s="2"/>
      <c r="G12" s="51"/>
      <c r="H12" s="51"/>
      <c r="I12" s="52"/>
    </row>
    <row r="13" spans="1:9" ht="75">
      <c r="A13" s="12">
        <v>4</v>
      </c>
      <c r="B13" s="13" t="s">
        <v>43</v>
      </c>
      <c r="C13" s="13" t="s">
        <v>7</v>
      </c>
      <c r="D13" s="15">
        <f>E13*12*$D$2</f>
        <v>107.60892730633391</v>
      </c>
      <c r="E13" s="79">
        <f>0.15941879443401+0.001</f>
        <v>0.16041879443401</v>
      </c>
      <c r="F13" s="2"/>
      <c r="G13" s="51"/>
      <c r="H13" s="51"/>
      <c r="I13" s="52"/>
    </row>
    <row r="14" spans="1:9" ht="75">
      <c r="A14" s="12">
        <v>5</v>
      </c>
      <c r="B14" s="13" t="s">
        <v>19</v>
      </c>
      <c r="C14" s="13" t="s">
        <v>198</v>
      </c>
      <c r="D14" s="15">
        <f>E14*12*$D$2</f>
        <v>684.4033473769596</v>
      </c>
      <c r="E14" s="21">
        <v>1.0202792894707209</v>
      </c>
      <c r="F14" s="2"/>
      <c r="G14" s="51"/>
      <c r="H14" s="51"/>
      <c r="I14" s="52"/>
    </row>
    <row r="15" spans="1:9" ht="15">
      <c r="A15" s="95" t="s">
        <v>41</v>
      </c>
      <c r="B15" s="95"/>
      <c r="C15" s="95"/>
      <c r="D15" s="23">
        <f>SUM(D16)</f>
        <v>85.8163145922764</v>
      </c>
      <c r="E15" s="22">
        <f>SUM(E16)</f>
        <v>0.12793129784179547</v>
      </c>
      <c r="F15" s="2"/>
      <c r="G15" s="54"/>
      <c r="H15" s="54"/>
      <c r="I15" s="54"/>
    </row>
    <row r="16" spans="1:10" ht="15">
      <c r="A16" s="12">
        <v>6</v>
      </c>
      <c r="B16" s="13" t="s">
        <v>21</v>
      </c>
      <c r="C16" s="13" t="s">
        <v>22</v>
      </c>
      <c r="D16" s="15">
        <f>E16*12*$D$2</f>
        <v>85.8163145922764</v>
      </c>
      <c r="E16" s="53">
        <v>0.12793129784179547</v>
      </c>
      <c r="F16" s="2"/>
      <c r="H16" s="51"/>
      <c r="I16" s="51"/>
      <c r="J16" s="52"/>
    </row>
    <row r="17" spans="1:10" ht="15">
      <c r="A17" s="8"/>
      <c r="B17" s="24" t="s">
        <v>24</v>
      </c>
      <c r="C17" s="24"/>
      <c r="D17" s="25">
        <f>D7+D10+D12+D15</f>
        <v>1164.4644429811528</v>
      </c>
      <c r="E17" s="17">
        <f>E7+E10+E12+E15</f>
        <v>1.7359338744501382</v>
      </c>
      <c r="F17" s="5"/>
      <c r="H17" s="54"/>
      <c r="I17" s="54"/>
      <c r="J17" s="54"/>
    </row>
    <row r="18" spans="1:6" ht="15">
      <c r="A18" s="26"/>
      <c r="B18" s="27"/>
      <c r="C18" s="28"/>
      <c r="D18" s="29"/>
      <c r="E18" s="30"/>
      <c r="F18" s="2"/>
    </row>
    <row r="19" spans="1:6" ht="105">
      <c r="A19" s="10" t="s">
        <v>25</v>
      </c>
      <c r="B19" s="10" t="s">
        <v>26</v>
      </c>
      <c r="C19" s="10" t="s">
        <v>27</v>
      </c>
      <c r="D19" s="10" t="s">
        <v>28</v>
      </c>
      <c r="E19" s="10" t="s">
        <v>29</v>
      </c>
      <c r="F19" s="10" t="s">
        <v>30</v>
      </c>
    </row>
    <row r="20" spans="1:6" ht="15">
      <c r="A20" s="10">
        <v>1</v>
      </c>
      <c r="B20" s="7" t="s">
        <v>110</v>
      </c>
      <c r="C20" s="10" t="s">
        <v>200</v>
      </c>
      <c r="D20" s="10">
        <v>1257.5</v>
      </c>
      <c r="E20" s="33">
        <f>D20/12/$D$2</f>
        <v>1.8746273106738225</v>
      </c>
      <c r="F20" s="34">
        <v>2</v>
      </c>
    </row>
    <row r="21" spans="1:6" ht="15">
      <c r="A21" s="10"/>
      <c r="B21" s="36" t="s">
        <v>31</v>
      </c>
      <c r="C21" s="9"/>
      <c r="D21" s="37">
        <f>SUM(D20:D20)</f>
        <v>1257.5</v>
      </c>
      <c r="E21" s="38">
        <f>SUM(E20:E20)</f>
        <v>1.8746273106738225</v>
      </c>
      <c r="F21" s="39"/>
    </row>
    <row r="22" spans="1:6" ht="15">
      <c r="A22" s="26"/>
      <c r="B22" s="27"/>
      <c r="C22" s="40"/>
      <c r="D22" s="40"/>
      <c r="E22" s="40"/>
      <c r="F22" s="40"/>
    </row>
    <row r="23" spans="1:6" ht="29.25">
      <c r="A23" s="26"/>
      <c r="B23" s="27" t="s">
        <v>32</v>
      </c>
      <c r="C23" s="41">
        <f>D17+D21</f>
        <v>2421.964442981153</v>
      </c>
      <c r="D23" s="41"/>
      <c r="E23" s="41"/>
      <c r="F23" s="40"/>
    </row>
    <row r="24" spans="1:6" ht="15">
      <c r="A24" s="26"/>
      <c r="B24" s="27" t="s">
        <v>33</v>
      </c>
      <c r="C24" s="42">
        <f>E17+E21</f>
        <v>3.6105611851239607</v>
      </c>
      <c r="D24" s="40"/>
      <c r="E24" s="40"/>
      <c r="F24" s="40"/>
    </row>
    <row r="25" spans="1:6" ht="15">
      <c r="A25" s="26"/>
      <c r="B25" s="27"/>
      <c r="C25" s="42"/>
      <c r="D25" s="40"/>
      <c r="E25" s="40"/>
      <c r="F25" s="40"/>
    </row>
    <row r="26" spans="1:6" ht="33" customHeight="1">
      <c r="A26" s="88" t="s">
        <v>105</v>
      </c>
      <c r="B26" s="88"/>
      <c r="C26" s="88"/>
      <c r="D26" s="88"/>
      <c r="E26" s="88"/>
      <c r="F26" s="88"/>
    </row>
    <row r="27" spans="1:6" ht="15">
      <c r="A27" s="1"/>
      <c r="B27" s="1"/>
      <c r="C27" s="1"/>
      <c r="D27" s="2"/>
      <c r="E27" s="2"/>
      <c r="F27" s="2"/>
    </row>
    <row r="28" spans="1:6" ht="85.5">
      <c r="A28" s="7"/>
      <c r="B28" s="8" t="s">
        <v>1</v>
      </c>
      <c r="C28" s="8" t="s">
        <v>2</v>
      </c>
      <c r="D28" s="8" t="s">
        <v>3</v>
      </c>
      <c r="E28" s="8" t="s">
        <v>4</v>
      </c>
      <c r="F28" s="2"/>
    </row>
    <row r="29" spans="1:5" ht="30" customHeight="1">
      <c r="A29" s="89" t="s">
        <v>123</v>
      </c>
      <c r="B29" s="89"/>
      <c r="C29" s="89"/>
      <c r="D29" s="17">
        <f>D30</f>
        <v>6.707999999999999</v>
      </c>
      <c r="E29" s="17">
        <f>E30</f>
        <v>0.01</v>
      </c>
    </row>
    <row r="30" spans="1:5" ht="30">
      <c r="A30" s="12" t="s">
        <v>5</v>
      </c>
      <c r="B30" s="43" t="s">
        <v>35</v>
      </c>
      <c r="C30" s="43" t="s">
        <v>42</v>
      </c>
      <c r="D30" s="15">
        <f>E30*12*$D$2</f>
        <v>6.707999999999999</v>
      </c>
      <c r="E30" s="44">
        <v>0.01</v>
      </c>
    </row>
    <row r="31" spans="1:5" ht="30" customHeight="1">
      <c r="A31" s="89" t="s">
        <v>102</v>
      </c>
      <c r="B31" s="89"/>
      <c r="C31" s="89"/>
      <c r="D31" s="17">
        <f>D32</f>
        <v>40.248</v>
      </c>
      <c r="E31" s="17">
        <f>E32</f>
        <v>0.06</v>
      </c>
    </row>
    <row r="32" spans="1:5" ht="15">
      <c r="A32" s="12" t="s">
        <v>34</v>
      </c>
      <c r="B32" s="45" t="s">
        <v>9</v>
      </c>
      <c r="C32" s="7" t="s">
        <v>42</v>
      </c>
      <c r="D32" s="15">
        <f>E32*$D$2*12</f>
        <v>40.248</v>
      </c>
      <c r="E32" s="16">
        <v>0.06</v>
      </c>
    </row>
    <row r="33" spans="1:6" ht="15">
      <c r="A33" s="8"/>
      <c r="B33" s="24" t="s">
        <v>24</v>
      </c>
      <c r="C33" s="24"/>
      <c r="D33" s="25">
        <f>D29+D31</f>
        <v>46.955999999999996</v>
      </c>
      <c r="E33" s="17">
        <f>E29+E31</f>
        <v>0.06999999999999999</v>
      </c>
      <c r="F33" s="5"/>
    </row>
    <row r="34" spans="1:6" ht="15">
      <c r="A34" s="2"/>
      <c r="B34" s="2"/>
      <c r="C34" s="2"/>
      <c r="D34" s="2"/>
      <c r="E34" s="2"/>
      <c r="F34" s="2"/>
    </row>
    <row r="35" spans="1:6" ht="15">
      <c r="A35" s="31"/>
      <c r="B35" s="31"/>
      <c r="C35" s="31"/>
      <c r="D35" s="31"/>
      <c r="E35" s="31"/>
      <c r="F35" s="32"/>
    </row>
    <row r="36" spans="1:6" ht="105">
      <c r="A36" s="10" t="s">
        <v>25</v>
      </c>
      <c r="B36" s="10" t="s">
        <v>26</v>
      </c>
      <c r="C36" s="10" t="s">
        <v>27</v>
      </c>
      <c r="D36" s="10" t="s">
        <v>28</v>
      </c>
      <c r="E36" s="10" t="s">
        <v>36</v>
      </c>
      <c r="F36" s="10" t="s">
        <v>30</v>
      </c>
    </row>
    <row r="37" spans="1:6" ht="15">
      <c r="A37" s="10">
        <v>1</v>
      </c>
      <c r="B37" s="7" t="s">
        <v>110</v>
      </c>
      <c r="C37" s="10" t="s">
        <v>200</v>
      </c>
      <c r="D37" s="10">
        <v>1257.5</v>
      </c>
      <c r="E37" s="46">
        <f>D37/12/$D$2</f>
        <v>1.8746273106738225</v>
      </c>
      <c r="F37" s="10">
        <v>2</v>
      </c>
    </row>
    <row r="38" spans="1:6" ht="15">
      <c r="A38" s="47"/>
      <c r="B38" s="47" t="s">
        <v>31</v>
      </c>
      <c r="C38" s="47"/>
      <c r="D38" s="48">
        <f>SUM(D37:D37)</f>
        <v>1257.5</v>
      </c>
      <c r="E38" s="49">
        <f>SUM(E37:E37)</f>
        <v>1.8746273106738225</v>
      </c>
      <c r="F38" s="47"/>
    </row>
    <row r="42" spans="2:3" ht="43.5">
      <c r="B42" s="27" t="s">
        <v>78</v>
      </c>
      <c r="C42" s="58">
        <f>C23</f>
        <v>2421.964442981153</v>
      </c>
    </row>
  </sheetData>
  <mergeCells count="8">
    <mergeCell ref="A15:C15"/>
    <mergeCell ref="A26:F26"/>
    <mergeCell ref="A29:C29"/>
    <mergeCell ref="A31:C31"/>
    <mergeCell ref="A4:E4"/>
    <mergeCell ref="A7:C7"/>
    <mergeCell ref="A10:C10"/>
    <mergeCell ref="A12:C12"/>
  </mergeCells>
  <printOptions/>
  <pageMargins left="0.7874015748031497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28">
      <selection activeCell="A29" sqref="A29:C29"/>
    </sheetView>
  </sheetViews>
  <sheetFormatPr defaultColWidth="9.140625" defaultRowHeight="12.75"/>
  <cols>
    <col min="1" max="1" width="3.421875" style="3" customWidth="1"/>
    <col min="2" max="2" width="40.8515625" style="3" customWidth="1"/>
    <col min="3" max="3" width="17.421875" style="3" customWidth="1"/>
    <col min="4" max="4" width="11.28125" style="3" customWidth="1"/>
    <col min="5" max="5" width="11.8515625" style="3" customWidth="1"/>
    <col min="6" max="6" width="8.57421875" style="3" customWidth="1"/>
    <col min="7" max="16384" width="9.140625" style="3" customWidth="1"/>
  </cols>
  <sheetData>
    <row r="1" ht="15">
      <c r="B1" s="56" t="s">
        <v>106</v>
      </c>
    </row>
    <row r="2" spans="1:6" ht="24" customHeight="1">
      <c r="A2" s="2"/>
      <c r="B2" s="1" t="s">
        <v>117</v>
      </c>
      <c r="C2" s="4"/>
      <c r="D2" s="57">
        <v>53</v>
      </c>
      <c r="E2" s="5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40.5" customHeight="1">
      <c r="A4" s="88" t="s">
        <v>109</v>
      </c>
      <c r="B4" s="88"/>
      <c r="C4" s="88"/>
      <c r="D4" s="88"/>
      <c r="E4" s="88"/>
      <c r="F4" s="2"/>
    </row>
    <row r="5" spans="1:6" ht="15">
      <c r="A5" s="1"/>
      <c r="B5" s="1"/>
      <c r="C5" s="1"/>
      <c r="D5" s="1"/>
      <c r="E5" s="1"/>
      <c r="F5" s="2"/>
    </row>
    <row r="6" spans="1:6" ht="85.5">
      <c r="A6" s="7"/>
      <c r="B6" s="8" t="s">
        <v>1</v>
      </c>
      <c r="C6" s="8" t="s">
        <v>2</v>
      </c>
      <c r="D6" s="8" t="s">
        <v>3</v>
      </c>
      <c r="E6" s="8" t="s">
        <v>4</v>
      </c>
      <c r="F6" s="2"/>
    </row>
    <row r="7" spans="1:7" ht="15">
      <c r="A7" s="90" t="s">
        <v>37</v>
      </c>
      <c r="B7" s="91"/>
      <c r="C7" s="92"/>
      <c r="D7" s="17">
        <f>SUM(D8:D9)</f>
        <v>134.57124384665653</v>
      </c>
      <c r="E7" s="17">
        <f>SUM(E8:E9)</f>
        <v>0.2115900060482021</v>
      </c>
      <c r="F7" s="20"/>
      <c r="G7" s="19"/>
    </row>
    <row r="8" spans="1:7" ht="15.75" customHeight="1">
      <c r="A8" s="12">
        <v>1</v>
      </c>
      <c r="B8" s="7" t="s">
        <v>11</v>
      </c>
      <c r="C8" s="14" t="s">
        <v>12</v>
      </c>
      <c r="D8" s="15">
        <f>E8*$D$2*12</f>
        <v>123.1209916254863</v>
      </c>
      <c r="E8" s="21">
        <v>0.193586464819947</v>
      </c>
      <c r="F8" s="18"/>
      <c r="G8" s="19"/>
    </row>
    <row r="9" spans="1:7" ht="30">
      <c r="A9" s="12">
        <v>2</v>
      </c>
      <c r="B9" s="13" t="s">
        <v>13</v>
      </c>
      <c r="C9" s="13" t="s">
        <v>14</v>
      </c>
      <c r="D9" s="15">
        <f>E9*$D$2*12</f>
        <v>11.450252221170244</v>
      </c>
      <c r="E9" s="21">
        <v>0.0180035412282551</v>
      </c>
      <c r="F9" s="18"/>
      <c r="G9" s="19"/>
    </row>
    <row r="10" spans="1:7" ht="29.25" customHeight="1">
      <c r="A10" s="90" t="s">
        <v>103</v>
      </c>
      <c r="B10" s="93"/>
      <c r="C10" s="94"/>
      <c r="D10" s="22">
        <f>SUM(D11:D11)</f>
        <v>17.49336601226953</v>
      </c>
      <c r="E10" s="22">
        <f>SUM(E11:E11)</f>
        <v>0.0275052924721219</v>
      </c>
      <c r="F10" s="18"/>
      <c r="G10" s="19"/>
    </row>
    <row r="11" spans="1:6" ht="75" customHeight="1">
      <c r="A11" s="12">
        <v>3</v>
      </c>
      <c r="B11" s="13" t="s">
        <v>38</v>
      </c>
      <c r="C11" s="13" t="s">
        <v>7</v>
      </c>
      <c r="D11" s="15">
        <f>E11*12*$D$2</f>
        <v>17.49336601226953</v>
      </c>
      <c r="E11" s="15">
        <v>0.0275052924721219</v>
      </c>
      <c r="F11" s="2"/>
    </row>
    <row r="12" spans="1:9" ht="15">
      <c r="A12" s="95" t="s">
        <v>39</v>
      </c>
      <c r="B12" s="96"/>
      <c r="C12" s="96"/>
      <c r="D12" s="11">
        <f>SUM(D13:D14)</f>
        <v>763.930081161343</v>
      </c>
      <c r="E12" s="11">
        <f>SUM(E13:E14)</f>
        <v>1.2011479263543128</v>
      </c>
      <c r="F12" s="2"/>
      <c r="G12" s="51"/>
      <c r="H12" s="51"/>
      <c r="I12" s="52"/>
    </row>
    <row r="13" spans="1:9" ht="61.5" customHeight="1">
      <c r="A13" s="12">
        <v>4</v>
      </c>
      <c r="B13" s="13" t="s">
        <v>43</v>
      </c>
      <c r="C13" s="13" t="s">
        <v>7</v>
      </c>
      <c r="D13" s="15">
        <f>E13*12*$D$2</f>
        <v>115.03245305796501</v>
      </c>
      <c r="E13" s="15">
        <f>0.0836268703481988+0.097241766535394</f>
        <v>0.18086863688359278</v>
      </c>
      <c r="F13" s="2"/>
      <c r="G13" s="51"/>
      <c r="H13" s="51"/>
      <c r="I13" s="52"/>
    </row>
    <row r="14" spans="1:9" ht="75">
      <c r="A14" s="12">
        <v>5</v>
      </c>
      <c r="B14" s="13" t="s">
        <v>19</v>
      </c>
      <c r="C14" s="13" t="s">
        <v>40</v>
      </c>
      <c r="D14" s="15">
        <f>E14*12*$D$2</f>
        <v>648.897628103378</v>
      </c>
      <c r="E14" s="21">
        <f>0.90775617487072+0.1125231146</f>
        <v>1.02027928947072</v>
      </c>
      <c r="F14" s="2"/>
      <c r="G14" s="54"/>
      <c r="H14" s="54"/>
      <c r="I14" s="54"/>
    </row>
    <row r="15" spans="1:9" ht="15">
      <c r="A15" s="95" t="s">
        <v>41</v>
      </c>
      <c r="B15" s="95"/>
      <c r="C15" s="95"/>
      <c r="D15" s="23">
        <f>SUM(D16)</f>
        <v>83.4282437520698</v>
      </c>
      <c r="E15" s="22">
        <f>SUM(E16)</f>
        <v>0.1311764838869022</v>
      </c>
      <c r="F15" s="2"/>
      <c r="G15" s="54"/>
      <c r="H15" s="54"/>
      <c r="I15" s="54"/>
    </row>
    <row r="16" spans="1:6" ht="15">
      <c r="A16" s="12">
        <v>6</v>
      </c>
      <c r="B16" s="13" t="s">
        <v>21</v>
      </c>
      <c r="C16" s="13" t="s">
        <v>22</v>
      </c>
      <c r="D16" s="15">
        <f>E16*12*$D$2</f>
        <v>83.4282437520698</v>
      </c>
      <c r="E16" s="21">
        <f>0.0162708235095442+0.114905660377358</f>
        <v>0.1311764838869022</v>
      </c>
      <c r="F16" s="2"/>
    </row>
    <row r="17" spans="1:6" ht="15">
      <c r="A17" s="8"/>
      <c r="B17" s="24" t="s">
        <v>24</v>
      </c>
      <c r="C17" s="24"/>
      <c r="D17" s="25">
        <f>D7+D10+D12+D15</f>
        <v>999.4229347723387</v>
      </c>
      <c r="E17" s="17">
        <f>E7+E10+E12+E15</f>
        <v>1.5714197087615391</v>
      </c>
      <c r="F17" s="5"/>
    </row>
    <row r="18" spans="1:6" ht="15">
      <c r="A18" s="26"/>
      <c r="B18" s="27"/>
      <c r="C18" s="28"/>
      <c r="D18" s="29"/>
      <c r="E18" s="30"/>
      <c r="F18" s="2"/>
    </row>
    <row r="19" spans="1:6" ht="105">
      <c r="A19" s="10" t="s">
        <v>25</v>
      </c>
      <c r="B19" s="10" t="s">
        <v>26</v>
      </c>
      <c r="C19" s="10" t="s">
        <v>27</v>
      </c>
      <c r="D19" s="10" t="s">
        <v>28</v>
      </c>
      <c r="E19" s="10" t="s">
        <v>29</v>
      </c>
      <c r="F19" s="10" t="s">
        <v>30</v>
      </c>
    </row>
    <row r="20" spans="1:6" ht="15">
      <c r="A20" s="10">
        <v>1</v>
      </c>
      <c r="B20" s="7" t="s">
        <v>110</v>
      </c>
      <c r="C20" s="10" t="s">
        <v>46</v>
      </c>
      <c r="D20" s="10">
        <v>1006</v>
      </c>
      <c r="E20" s="33">
        <f>D20/12/$D$2</f>
        <v>1.5817610062893082</v>
      </c>
      <c r="F20" s="34">
        <v>2</v>
      </c>
    </row>
    <row r="21" spans="1:6" ht="15">
      <c r="A21" s="10"/>
      <c r="B21" s="36" t="s">
        <v>31</v>
      </c>
      <c r="C21" s="9"/>
      <c r="D21" s="37">
        <f>SUM(D20:D20)</f>
        <v>1006</v>
      </c>
      <c r="E21" s="38">
        <f>SUM(E20:E20)</f>
        <v>1.5817610062893082</v>
      </c>
      <c r="F21" s="39"/>
    </row>
    <row r="22" spans="1:6" ht="15">
      <c r="A22" s="26"/>
      <c r="B22" s="27"/>
      <c r="C22" s="40"/>
      <c r="D22" s="40"/>
      <c r="E22" s="40"/>
      <c r="F22" s="40"/>
    </row>
    <row r="23" spans="1:6" ht="29.25">
      <c r="A23" s="26"/>
      <c r="B23" s="27" t="s">
        <v>32</v>
      </c>
      <c r="C23" s="41">
        <f>D17+D21</f>
        <v>2005.4229347723387</v>
      </c>
      <c r="D23" s="41"/>
      <c r="E23" s="41"/>
      <c r="F23" s="40"/>
    </row>
    <row r="24" spans="1:6" ht="15">
      <c r="A24" s="26"/>
      <c r="B24" s="27" t="s">
        <v>33</v>
      </c>
      <c r="C24" s="42">
        <f>E17+E21</f>
        <v>3.1531807150508473</v>
      </c>
      <c r="D24" s="40"/>
      <c r="E24" s="40"/>
      <c r="F24" s="40"/>
    </row>
    <row r="25" spans="1:6" ht="3" customHeight="1">
      <c r="A25" s="26"/>
      <c r="B25" s="27"/>
      <c r="C25" s="42"/>
      <c r="D25" s="40"/>
      <c r="E25" s="40"/>
      <c r="F25" s="40"/>
    </row>
    <row r="26" spans="1:6" ht="33" customHeight="1">
      <c r="A26" s="88" t="s">
        <v>111</v>
      </c>
      <c r="B26" s="88"/>
      <c r="C26" s="88"/>
      <c r="D26" s="88"/>
      <c r="E26" s="88"/>
      <c r="F26" s="88"/>
    </row>
    <row r="27" spans="1:6" ht="15">
      <c r="A27" s="1"/>
      <c r="B27" s="1"/>
      <c r="C27" s="1"/>
      <c r="D27" s="2"/>
      <c r="E27" s="2"/>
      <c r="F27" s="2"/>
    </row>
    <row r="28" spans="1:6" ht="85.5">
      <c r="A28" s="7"/>
      <c r="B28" s="8" t="s">
        <v>1</v>
      </c>
      <c r="C28" s="8" t="s">
        <v>2</v>
      </c>
      <c r="D28" s="8" t="s">
        <v>3</v>
      </c>
      <c r="E28" s="8" t="s">
        <v>4</v>
      </c>
      <c r="F28" s="2"/>
    </row>
    <row r="29" spans="1:5" ht="30" customHeight="1">
      <c r="A29" s="89" t="s">
        <v>123</v>
      </c>
      <c r="B29" s="89"/>
      <c r="C29" s="89"/>
      <c r="D29" s="17">
        <f>D30</f>
        <v>6.359999999999999</v>
      </c>
      <c r="E29" s="17">
        <f>E30</f>
        <v>0.01</v>
      </c>
    </row>
    <row r="30" spans="1:5" ht="30">
      <c r="A30" s="12" t="s">
        <v>5</v>
      </c>
      <c r="B30" s="43" t="s">
        <v>35</v>
      </c>
      <c r="C30" s="43" t="s">
        <v>42</v>
      </c>
      <c r="D30" s="15">
        <f>E30*12*$D$2</f>
        <v>6.359999999999999</v>
      </c>
      <c r="E30" s="44">
        <v>0.01</v>
      </c>
    </row>
    <row r="31" spans="1:5" ht="30" customHeight="1">
      <c r="A31" s="89" t="s">
        <v>102</v>
      </c>
      <c r="B31" s="89"/>
      <c r="C31" s="89"/>
      <c r="D31" s="17">
        <f>D32</f>
        <v>38.16</v>
      </c>
      <c r="E31" s="17">
        <f>E32</f>
        <v>0.06</v>
      </c>
    </row>
    <row r="32" spans="1:5" ht="15">
      <c r="A32" s="12" t="s">
        <v>34</v>
      </c>
      <c r="B32" s="45" t="s">
        <v>9</v>
      </c>
      <c r="C32" s="7" t="s">
        <v>42</v>
      </c>
      <c r="D32" s="15">
        <f>E32*$D$2*12</f>
        <v>38.16</v>
      </c>
      <c r="E32" s="16">
        <v>0.06</v>
      </c>
    </row>
    <row r="33" spans="1:6" ht="15">
      <c r="A33" s="8"/>
      <c r="B33" s="24" t="s">
        <v>24</v>
      </c>
      <c r="C33" s="24"/>
      <c r="D33" s="25">
        <f>D29+D31</f>
        <v>44.519999999999996</v>
      </c>
      <c r="E33" s="17">
        <f>E29+E31</f>
        <v>0.06999999999999999</v>
      </c>
      <c r="F33" s="5"/>
    </row>
    <row r="34" spans="1:6" ht="15">
      <c r="A34" s="2"/>
      <c r="B34" s="2"/>
      <c r="C34" s="2"/>
      <c r="D34" s="2"/>
      <c r="E34" s="2"/>
      <c r="F34" s="2"/>
    </row>
    <row r="35" spans="1:6" ht="15">
      <c r="A35" s="31"/>
      <c r="B35" s="31"/>
      <c r="C35" s="31"/>
      <c r="D35" s="31"/>
      <c r="E35" s="31"/>
      <c r="F35" s="32"/>
    </row>
    <row r="36" spans="1:6" ht="105">
      <c r="A36" s="10" t="s">
        <v>25</v>
      </c>
      <c r="B36" s="10" t="s">
        <v>26</v>
      </c>
      <c r="C36" s="10" t="s">
        <v>27</v>
      </c>
      <c r="D36" s="10" t="s">
        <v>28</v>
      </c>
      <c r="E36" s="10" t="s">
        <v>36</v>
      </c>
      <c r="F36" s="10" t="s">
        <v>30</v>
      </c>
    </row>
    <row r="37" spans="1:6" ht="15">
      <c r="A37" s="10">
        <v>1</v>
      </c>
      <c r="B37" s="7" t="s">
        <v>110</v>
      </c>
      <c r="C37" s="10" t="s">
        <v>46</v>
      </c>
      <c r="D37" s="10">
        <v>1006</v>
      </c>
      <c r="E37" s="46">
        <f>D37/12/$D$2</f>
        <v>1.5817610062893082</v>
      </c>
      <c r="F37" s="34">
        <v>2</v>
      </c>
    </row>
    <row r="38" spans="1:6" ht="15">
      <c r="A38" s="47"/>
      <c r="B38" s="47" t="s">
        <v>31</v>
      </c>
      <c r="C38" s="47"/>
      <c r="D38" s="48">
        <f>SUM(D37:D37)</f>
        <v>1006</v>
      </c>
      <c r="E38" s="49">
        <f>SUM(E37:E37)</f>
        <v>1.5817610062893082</v>
      </c>
      <c r="F38" s="47"/>
    </row>
    <row r="42" spans="2:3" ht="43.5">
      <c r="B42" s="27" t="s">
        <v>93</v>
      </c>
      <c r="C42" s="58">
        <f>C23</f>
        <v>2005.4229347723387</v>
      </c>
    </row>
  </sheetData>
  <mergeCells count="8">
    <mergeCell ref="A4:E4"/>
    <mergeCell ref="A7:C7"/>
    <mergeCell ref="A10:C10"/>
    <mergeCell ref="A12:C12"/>
    <mergeCell ref="A31:C31"/>
    <mergeCell ref="A15:C15"/>
    <mergeCell ref="A26:F26"/>
    <mergeCell ref="A29:C29"/>
  </mergeCells>
  <printOptions/>
  <pageMargins left="0.7874015748031497" right="0.2362204724409449" top="0.5905511811023623" bottom="0.5905511811023623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25">
      <selection activeCell="A29" sqref="A29:C29"/>
    </sheetView>
  </sheetViews>
  <sheetFormatPr defaultColWidth="9.140625" defaultRowHeight="12.75"/>
  <cols>
    <col min="1" max="1" width="3.421875" style="3" customWidth="1"/>
    <col min="2" max="2" width="40.8515625" style="3" customWidth="1"/>
    <col min="3" max="3" width="17.421875" style="3" customWidth="1"/>
    <col min="4" max="4" width="11.28125" style="3" customWidth="1"/>
    <col min="5" max="5" width="11.8515625" style="3" customWidth="1"/>
    <col min="6" max="6" width="8.57421875" style="3" customWidth="1"/>
    <col min="7" max="16384" width="9.140625" style="3" customWidth="1"/>
  </cols>
  <sheetData>
    <row r="1" ht="15">
      <c r="B1" s="56" t="s">
        <v>67</v>
      </c>
    </row>
    <row r="2" spans="1:6" ht="24" customHeight="1">
      <c r="A2" s="2"/>
      <c r="B2" s="1" t="s">
        <v>118</v>
      </c>
      <c r="C2" s="4"/>
      <c r="D2" s="57">
        <v>81</v>
      </c>
      <c r="E2" s="5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40.5" customHeight="1">
      <c r="A4" s="88" t="s">
        <v>109</v>
      </c>
      <c r="B4" s="88"/>
      <c r="C4" s="88"/>
      <c r="D4" s="88"/>
      <c r="E4" s="88"/>
      <c r="F4" s="2"/>
    </row>
    <row r="5" spans="1:6" ht="15">
      <c r="A5" s="1"/>
      <c r="B5" s="1"/>
      <c r="C5" s="1"/>
      <c r="D5" s="1"/>
      <c r="E5" s="1"/>
      <c r="F5" s="2"/>
    </row>
    <row r="6" spans="1:6" ht="85.5">
      <c r="A6" s="7"/>
      <c r="B6" s="8" t="s">
        <v>1</v>
      </c>
      <c r="C6" s="8" t="s">
        <v>2</v>
      </c>
      <c r="D6" s="8" t="s">
        <v>3</v>
      </c>
      <c r="E6" s="8" t="s">
        <v>4</v>
      </c>
      <c r="F6" s="2"/>
    </row>
    <row r="7" spans="1:7" ht="15">
      <c r="A7" s="90" t="s">
        <v>37</v>
      </c>
      <c r="B7" s="91"/>
      <c r="C7" s="92"/>
      <c r="D7" s="17">
        <f>SUM(D8:D9)</f>
        <v>269.1424876933136</v>
      </c>
      <c r="E7" s="17">
        <f>SUM(E8:E9)</f>
        <v>0.27689556347048727</v>
      </c>
      <c r="F7" s="20"/>
      <c r="G7" s="19"/>
    </row>
    <row r="8" spans="1:7" ht="15.75" customHeight="1">
      <c r="A8" s="12">
        <v>1</v>
      </c>
      <c r="B8" s="7" t="s">
        <v>11</v>
      </c>
      <c r="C8" s="14" t="s">
        <v>12</v>
      </c>
      <c r="D8" s="15">
        <f>E8*$D$2*12</f>
        <v>246.2419832509732</v>
      </c>
      <c r="E8" s="21">
        <v>0.253335373714993</v>
      </c>
      <c r="F8" s="18"/>
      <c r="G8" s="19"/>
    </row>
    <row r="9" spans="1:7" ht="30">
      <c r="A9" s="12">
        <v>2</v>
      </c>
      <c r="B9" s="13" t="s">
        <v>13</v>
      </c>
      <c r="C9" s="13" t="s">
        <v>14</v>
      </c>
      <c r="D9" s="15">
        <f>E9*$D$2*12</f>
        <v>22.90050444234046</v>
      </c>
      <c r="E9" s="21">
        <v>0.0235601897554943</v>
      </c>
      <c r="F9" s="18"/>
      <c r="G9" s="19"/>
    </row>
    <row r="10" spans="1:7" ht="29.25" customHeight="1">
      <c r="A10" s="90" t="s">
        <v>103</v>
      </c>
      <c r="B10" s="93"/>
      <c r="C10" s="94"/>
      <c r="D10" s="22">
        <f>SUM(D11:D11)</f>
        <v>17.493366012269465</v>
      </c>
      <c r="E10" s="22">
        <f>SUM(E11:E11)</f>
        <v>0.0179972901360797</v>
      </c>
      <c r="F10" s="18"/>
      <c r="G10" s="19"/>
    </row>
    <row r="11" spans="1:6" ht="75" customHeight="1">
      <c r="A11" s="12">
        <v>3</v>
      </c>
      <c r="B11" s="13" t="s">
        <v>38</v>
      </c>
      <c r="C11" s="13" t="s">
        <v>7</v>
      </c>
      <c r="D11" s="15">
        <f>E11*12*$D$2</f>
        <v>17.493366012269465</v>
      </c>
      <c r="E11" s="15">
        <v>0.0179972901360797</v>
      </c>
      <c r="F11" s="2"/>
    </row>
    <row r="12" spans="1:9" ht="15">
      <c r="A12" s="95" t="s">
        <v>39</v>
      </c>
      <c r="B12" s="96"/>
      <c r="C12" s="96"/>
      <c r="D12" s="11">
        <f>SUM(D13:D14)</f>
        <v>1164.6140267819899</v>
      </c>
      <c r="E12" s="11">
        <f>SUM(E13:E14)</f>
        <v>1.1981625789938168</v>
      </c>
      <c r="F12" s="2"/>
      <c r="G12" s="51"/>
      <c r="H12" s="51"/>
      <c r="I12" s="52"/>
    </row>
    <row r="13" spans="1:9" ht="61.5" customHeight="1">
      <c r="A13" s="12">
        <v>4</v>
      </c>
      <c r="B13" s="13" t="s">
        <v>43</v>
      </c>
      <c r="C13" s="13" t="s">
        <v>7</v>
      </c>
      <c r="D13" s="15">
        <f>E13*12*$D$2</f>
        <v>175.80431505085218</v>
      </c>
      <c r="E13" s="15">
        <f>0.0836268703481988+0.097241766535394</f>
        <v>0.18086863688359278</v>
      </c>
      <c r="F13" s="2"/>
      <c r="G13" s="51"/>
      <c r="H13" s="51"/>
      <c r="I13" s="52"/>
    </row>
    <row r="14" spans="1:9" ht="75">
      <c r="A14" s="12">
        <v>5</v>
      </c>
      <c r="B14" s="13" t="s">
        <v>19</v>
      </c>
      <c r="C14" s="13" t="s">
        <v>40</v>
      </c>
      <c r="D14" s="15">
        <f>E14*12*$D$2</f>
        <v>988.8097117311378</v>
      </c>
      <c r="E14" s="21">
        <f>0.904770827510224+0.1125231146</f>
        <v>1.017293942110224</v>
      </c>
      <c r="F14" s="2"/>
      <c r="G14" s="54"/>
      <c r="H14" s="54"/>
      <c r="I14" s="54"/>
    </row>
    <row r="15" spans="1:9" ht="15">
      <c r="A15" s="95" t="s">
        <v>41</v>
      </c>
      <c r="B15" s="95"/>
      <c r="C15" s="95"/>
      <c r="D15" s="23">
        <f>SUM(D16)</f>
        <v>89.75145273024228</v>
      </c>
      <c r="E15" s="22">
        <f>SUM(E16)</f>
        <v>0.0923368855249406</v>
      </c>
      <c r="F15" s="2"/>
      <c r="G15" s="54"/>
      <c r="H15" s="54"/>
      <c r="I15" s="54"/>
    </row>
    <row r="16" spans="1:6" ht="15">
      <c r="A16" s="12">
        <v>6</v>
      </c>
      <c r="B16" s="13" t="s">
        <v>21</v>
      </c>
      <c r="C16" s="13" t="s">
        <v>22</v>
      </c>
      <c r="D16" s="15">
        <f>E16*12*$D$2</f>
        <v>89.75145273024228</v>
      </c>
      <c r="E16" s="21">
        <f>0.0171368855249406+0.0752</f>
        <v>0.0923368855249406</v>
      </c>
      <c r="F16" s="2"/>
    </row>
    <row r="17" spans="1:6" ht="15">
      <c r="A17" s="8"/>
      <c r="B17" s="24" t="s">
        <v>24</v>
      </c>
      <c r="C17" s="24"/>
      <c r="D17" s="25">
        <f>D7+D10+D12+D15</f>
        <v>1541.0013332178153</v>
      </c>
      <c r="E17" s="17">
        <f>E7+E10+E12+E15</f>
        <v>1.5853923181253244</v>
      </c>
      <c r="F17" s="5"/>
    </row>
    <row r="18" spans="1:6" ht="15">
      <c r="A18" s="26"/>
      <c r="B18" s="27"/>
      <c r="C18" s="28"/>
      <c r="D18" s="29"/>
      <c r="E18" s="30"/>
      <c r="F18" s="2"/>
    </row>
    <row r="19" spans="1:6" ht="105">
      <c r="A19" s="10" t="s">
        <v>25</v>
      </c>
      <c r="B19" s="10" t="s">
        <v>26</v>
      </c>
      <c r="C19" s="10" t="s">
        <v>27</v>
      </c>
      <c r="D19" s="10" t="s">
        <v>28</v>
      </c>
      <c r="E19" s="10" t="s">
        <v>29</v>
      </c>
      <c r="F19" s="10" t="s">
        <v>30</v>
      </c>
    </row>
    <row r="20" spans="1:6" ht="15">
      <c r="A20" s="10">
        <v>1</v>
      </c>
      <c r="B20" s="7" t="s">
        <v>110</v>
      </c>
      <c r="C20" s="10" t="s">
        <v>119</v>
      </c>
      <c r="D20" s="10">
        <v>1760.5</v>
      </c>
      <c r="E20" s="33">
        <f>D20/12/$D$2</f>
        <v>1.8112139917695473</v>
      </c>
      <c r="F20" s="34">
        <v>2</v>
      </c>
    </row>
    <row r="21" spans="1:6" ht="15">
      <c r="A21" s="10"/>
      <c r="B21" s="36" t="s">
        <v>31</v>
      </c>
      <c r="C21" s="9"/>
      <c r="D21" s="37">
        <f>SUM(D20:D20)</f>
        <v>1760.5</v>
      </c>
      <c r="E21" s="38">
        <f>SUM(E20:E20)</f>
        <v>1.8112139917695473</v>
      </c>
      <c r="F21" s="39"/>
    </row>
    <row r="22" spans="1:6" ht="15">
      <c r="A22" s="26"/>
      <c r="B22" s="27"/>
      <c r="C22" s="40"/>
      <c r="D22" s="40"/>
      <c r="E22" s="40"/>
      <c r="F22" s="40"/>
    </row>
    <row r="23" spans="1:6" ht="29.25">
      <c r="A23" s="26"/>
      <c r="B23" s="27" t="s">
        <v>32</v>
      </c>
      <c r="C23" s="41">
        <f>D17+D21</f>
        <v>3301.501333217815</v>
      </c>
      <c r="D23" s="41"/>
      <c r="E23" s="41"/>
      <c r="F23" s="40"/>
    </row>
    <row r="24" spans="1:6" ht="15">
      <c r="A24" s="26"/>
      <c r="B24" s="27" t="s">
        <v>33</v>
      </c>
      <c r="C24" s="42">
        <f>E17+E21</f>
        <v>3.396606309894872</v>
      </c>
      <c r="D24" s="40"/>
      <c r="E24" s="40"/>
      <c r="F24" s="40"/>
    </row>
    <row r="25" spans="1:6" ht="3" customHeight="1">
      <c r="A25" s="26"/>
      <c r="B25" s="27"/>
      <c r="C25" s="42"/>
      <c r="D25" s="40"/>
      <c r="E25" s="40"/>
      <c r="F25" s="40"/>
    </row>
    <row r="26" spans="1:6" ht="33" customHeight="1">
      <c r="A26" s="88" t="s">
        <v>111</v>
      </c>
      <c r="B26" s="88"/>
      <c r="C26" s="88"/>
      <c r="D26" s="88"/>
      <c r="E26" s="88"/>
      <c r="F26" s="88"/>
    </row>
    <row r="27" spans="1:6" ht="15">
      <c r="A27" s="1"/>
      <c r="B27" s="1"/>
      <c r="C27" s="1"/>
      <c r="D27" s="2"/>
      <c r="E27" s="2"/>
      <c r="F27" s="2"/>
    </row>
    <row r="28" spans="1:6" ht="85.5">
      <c r="A28" s="7"/>
      <c r="B28" s="8" t="s">
        <v>1</v>
      </c>
      <c r="C28" s="8" t="s">
        <v>2</v>
      </c>
      <c r="D28" s="8" t="s">
        <v>3</v>
      </c>
      <c r="E28" s="8" t="s">
        <v>4</v>
      </c>
      <c r="F28" s="2"/>
    </row>
    <row r="29" spans="1:5" ht="30" customHeight="1">
      <c r="A29" s="89" t="s">
        <v>123</v>
      </c>
      <c r="B29" s="89"/>
      <c r="C29" s="89"/>
      <c r="D29" s="17">
        <f>D30</f>
        <v>9.719999999999999</v>
      </c>
      <c r="E29" s="17">
        <f>E30</f>
        <v>0.01</v>
      </c>
    </row>
    <row r="30" spans="1:5" ht="30">
      <c r="A30" s="12" t="s">
        <v>5</v>
      </c>
      <c r="B30" s="43" t="s">
        <v>35</v>
      </c>
      <c r="C30" s="43" t="s">
        <v>42</v>
      </c>
      <c r="D30" s="15">
        <f>E30*12*$D$2</f>
        <v>9.719999999999999</v>
      </c>
      <c r="E30" s="44">
        <v>0.01</v>
      </c>
    </row>
    <row r="31" spans="1:5" ht="30" customHeight="1">
      <c r="A31" s="89" t="s">
        <v>102</v>
      </c>
      <c r="B31" s="89"/>
      <c r="C31" s="89"/>
      <c r="D31" s="17">
        <f>D32</f>
        <v>58.31999999999999</v>
      </c>
      <c r="E31" s="17">
        <f>E32</f>
        <v>0.06</v>
      </c>
    </row>
    <row r="32" spans="1:5" ht="15">
      <c r="A32" s="12" t="s">
        <v>34</v>
      </c>
      <c r="B32" s="45" t="s">
        <v>9</v>
      </c>
      <c r="C32" s="7" t="s">
        <v>42</v>
      </c>
      <c r="D32" s="15">
        <f>E32*$D$2*12</f>
        <v>58.31999999999999</v>
      </c>
      <c r="E32" s="16">
        <v>0.06</v>
      </c>
    </row>
    <row r="33" spans="1:6" ht="15">
      <c r="A33" s="8"/>
      <c r="B33" s="24" t="s">
        <v>24</v>
      </c>
      <c r="C33" s="24"/>
      <c r="D33" s="25">
        <f>D29+D31</f>
        <v>68.03999999999999</v>
      </c>
      <c r="E33" s="17">
        <f>E29+E31</f>
        <v>0.06999999999999999</v>
      </c>
      <c r="F33" s="5"/>
    </row>
    <row r="34" spans="1:6" ht="15">
      <c r="A34" s="2"/>
      <c r="B34" s="2"/>
      <c r="C34" s="2"/>
      <c r="D34" s="2"/>
      <c r="E34" s="2"/>
      <c r="F34" s="2"/>
    </row>
    <row r="35" spans="1:6" ht="15">
      <c r="A35" s="31"/>
      <c r="B35" s="31"/>
      <c r="C35" s="31"/>
      <c r="D35" s="31"/>
      <c r="E35" s="31"/>
      <c r="F35" s="32"/>
    </row>
    <row r="36" spans="1:6" ht="105">
      <c r="A36" s="10" t="s">
        <v>25</v>
      </c>
      <c r="B36" s="10" t="s">
        <v>26</v>
      </c>
      <c r="C36" s="10" t="s">
        <v>27</v>
      </c>
      <c r="D36" s="10" t="s">
        <v>28</v>
      </c>
      <c r="E36" s="10" t="s">
        <v>36</v>
      </c>
      <c r="F36" s="10" t="s">
        <v>30</v>
      </c>
    </row>
    <row r="37" spans="1:6" ht="15">
      <c r="A37" s="10">
        <v>1</v>
      </c>
      <c r="B37" s="7" t="s">
        <v>110</v>
      </c>
      <c r="C37" s="10" t="s">
        <v>119</v>
      </c>
      <c r="D37" s="10">
        <v>1760.5</v>
      </c>
      <c r="E37" s="46">
        <f>D37/12/$D$2</f>
        <v>1.8112139917695473</v>
      </c>
      <c r="F37" s="34">
        <v>2</v>
      </c>
    </row>
    <row r="38" spans="1:6" ht="15">
      <c r="A38" s="47"/>
      <c r="B38" s="47" t="s">
        <v>31</v>
      </c>
      <c r="C38" s="47"/>
      <c r="D38" s="48">
        <f>SUM(D37:D37)</f>
        <v>1760.5</v>
      </c>
      <c r="E38" s="49">
        <f>SUM(E37:E37)</f>
        <v>1.8112139917695473</v>
      </c>
      <c r="F38" s="47"/>
    </row>
    <row r="42" spans="2:3" ht="43.5">
      <c r="B42" s="27" t="s">
        <v>94</v>
      </c>
      <c r="C42" s="58">
        <f>C23</f>
        <v>3301.501333217815</v>
      </c>
    </row>
  </sheetData>
  <mergeCells count="8">
    <mergeCell ref="A31:C31"/>
    <mergeCell ref="A15:C15"/>
    <mergeCell ref="A26:F26"/>
    <mergeCell ref="A29:C29"/>
    <mergeCell ref="A4:E4"/>
    <mergeCell ref="A7:C7"/>
    <mergeCell ref="A10:C10"/>
    <mergeCell ref="A12:C12"/>
  </mergeCells>
  <printOptions/>
  <pageMargins left="0.7874015748031497" right="0.2362204724409449" top="0.5905511811023623" bottom="0.5905511811023623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25">
      <selection activeCell="A29" sqref="A29:C29"/>
    </sheetView>
  </sheetViews>
  <sheetFormatPr defaultColWidth="9.140625" defaultRowHeight="12.75"/>
  <cols>
    <col min="1" max="1" width="3.421875" style="3" customWidth="1"/>
    <col min="2" max="2" width="40.8515625" style="3" customWidth="1"/>
    <col min="3" max="3" width="17.421875" style="3" customWidth="1"/>
    <col min="4" max="4" width="11.28125" style="3" customWidth="1"/>
    <col min="5" max="5" width="11.8515625" style="3" customWidth="1"/>
    <col min="6" max="6" width="8.57421875" style="3" customWidth="1"/>
    <col min="7" max="16384" width="9.140625" style="3" customWidth="1"/>
  </cols>
  <sheetData>
    <row r="1" ht="15">
      <c r="B1" s="56" t="s">
        <v>69</v>
      </c>
    </row>
    <row r="2" spans="1:6" ht="24" customHeight="1">
      <c r="A2" s="2"/>
      <c r="B2" s="1" t="s">
        <v>120</v>
      </c>
      <c r="C2" s="4"/>
      <c r="D2" s="57">
        <v>81</v>
      </c>
      <c r="E2" s="5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40.5" customHeight="1">
      <c r="A4" s="88" t="s">
        <v>109</v>
      </c>
      <c r="B4" s="88"/>
      <c r="C4" s="88"/>
      <c r="D4" s="88"/>
      <c r="E4" s="88"/>
      <c r="F4" s="2"/>
    </row>
    <row r="5" spans="1:6" ht="15">
      <c r="A5" s="1"/>
      <c r="B5" s="1"/>
      <c r="C5" s="1"/>
      <c r="D5" s="1"/>
      <c r="E5" s="1"/>
      <c r="F5" s="2"/>
    </row>
    <row r="6" spans="1:6" ht="85.5">
      <c r="A6" s="7"/>
      <c r="B6" s="8" t="s">
        <v>1</v>
      </c>
      <c r="C6" s="8" t="s">
        <v>2</v>
      </c>
      <c r="D6" s="8" t="s">
        <v>3</v>
      </c>
      <c r="E6" s="8" t="s">
        <v>4</v>
      </c>
      <c r="F6" s="2"/>
    </row>
    <row r="7" spans="1:7" ht="15">
      <c r="A7" s="90" t="s">
        <v>37</v>
      </c>
      <c r="B7" s="91"/>
      <c r="C7" s="92"/>
      <c r="D7" s="17">
        <f>SUM(D8:D9)</f>
        <v>269.1424876933136</v>
      </c>
      <c r="E7" s="17">
        <f>SUM(E8:E9)</f>
        <v>0.27689556347048727</v>
      </c>
      <c r="F7" s="20"/>
      <c r="G7" s="19"/>
    </row>
    <row r="8" spans="1:7" ht="15.75" customHeight="1">
      <c r="A8" s="12">
        <v>1</v>
      </c>
      <c r="B8" s="7" t="s">
        <v>11</v>
      </c>
      <c r="C8" s="14" t="s">
        <v>12</v>
      </c>
      <c r="D8" s="15">
        <f>E8*$D$2*12</f>
        <v>246.2419832509732</v>
      </c>
      <c r="E8" s="21">
        <v>0.253335373714993</v>
      </c>
      <c r="F8" s="18"/>
      <c r="G8" s="19"/>
    </row>
    <row r="9" spans="1:7" ht="30">
      <c r="A9" s="12">
        <v>2</v>
      </c>
      <c r="B9" s="13" t="s">
        <v>13</v>
      </c>
      <c r="C9" s="13" t="s">
        <v>14</v>
      </c>
      <c r="D9" s="15">
        <f>E9*$D$2*12</f>
        <v>22.90050444234046</v>
      </c>
      <c r="E9" s="21">
        <v>0.0235601897554943</v>
      </c>
      <c r="F9" s="18"/>
      <c r="G9" s="19"/>
    </row>
    <row r="10" spans="1:7" ht="29.25" customHeight="1">
      <c r="A10" s="90" t="s">
        <v>103</v>
      </c>
      <c r="B10" s="93"/>
      <c r="C10" s="94"/>
      <c r="D10" s="22">
        <f>SUM(D11:D11)</f>
        <v>17.493366012269465</v>
      </c>
      <c r="E10" s="22">
        <f>SUM(E11:E11)</f>
        <v>0.0179972901360797</v>
      </c>
      <c r="F10" s="18"/>
      <c r="G10" s="19"/>
    </row>
    <row r="11" spans="1:6" ht="75" customHeight="1">
      <c r="A11" s="12">
        <v>3</v>
      </c>
      <c r="B11" s="13" t="s">
        <v>38</v>
      </c>
      <c r="C11" s="13" t="s">
        <v>7</v>
      </c>
      <c r="D11" s="15">
        <f>E11*12*$D$2</f>
        <v>17.493366012269465</v>
      </c>
      <c r="E11" s="15">
        <v>0.0179972901360797</v>
      </c>
      <c r="F11" s="2"/>
    </row>
    <row r="12" spans="1:9" ht="15">
      <c r="A12" s="95" t="s">
        <v>39</v>
      </c>
      <c r="B12" s="96"/>
      <c r="C12" s="96"/>
      <c r="D12" s="11">
        <f>SUM(D13:D14)</f>
        <v>1164.6140267819899</v>
      </c>
      <c r="E12" s="11">
        <f>SUM(E13:E14)</f>
        <v>1.1981625789938168</v>
      </c>
      <c r="F12" s="2"/>
      <c r="G12" s="51"/>
      <c r="H12" s="51"/>
      <c r="I12" s="52"/>
    </row>
    <row r="13" spans="1:9" ht="61.5" customHeight="1">
      <c r="A13" s="12">
        <v>4</v>
      </c>
      <c r="B13" s="13" t="s">
        <v>43</v>
      </c>
      <c r="C13" s="13" t="s">
        <v>7</v>
      </c>
      <c r="D13" s="15">
        <f>E13*12*$D$2</f>
        <v>175.80431505085218</v>
      </c>
      <c r="E13" s="15">
        <f>0.0836268703481988+0.097241766535394</f>
        <v>0.18086863688359278</v>
      </c>
      <c r="F13" s="2"/>
      <c r="G13" s="51"/>
      <c r="H13" s="51"/>
      <c r="I13" s="52"/>
    </row>
    <row r="14" spans="1:9" ht="75">
      <c r="A14" s="12">
        <v>5</v>
      </c>
      <c r="B14" s="13" t="s">
        <v>19</v>
      </c>
      <c r="C14" s="13" t="s">
        <v>40</v>
      </c>
      <c r="D14" s="15">
        <f>E14*12*$D$2</f>
        <v>988.8097117311378</v>
      </c>
      <c r="E14" s="21">
        <f>0.904770827510224+0.1125231146</f>
        <v>1.017293942110224</v>
      </c>
      <c r="F14" s="2"/>
      <c r="G14" s="54"/>
      <c r="H14" s="54"/>
      <c r="I14" s="54"/>
    </row>
    <row r="15" spans="1:9" ht="15">
      <c r="A15" s="95" t="s">
        <v>41</v>
      </c>
      <c r="B15" s="95"/>
      <c r="C15" s="95"/>
      <c r="D15" s="23">
        <f>SUM(D16)</f>
        <v>89.75145273024228</v>
      </c>
      <c r="E15" s="22">
        <f>SUM(E16)</f>
        <v>0.0923368855249406</v>
      </c>
      <c r="F15" s="2"/>
      <c r="G15" s="54"/>
      <c r="H15" s="54"/>
      <c r="I15" s="54"/>
    </row>
    <row r="16" spans="1:6" ht="15">
      <c r="A16" s="12">
        <v>6</v>
      </c>
      <c r="B16" s="13" t="s">
        <v>21</v>
      </c>
      <c r="C16" s="13" t="s">
        <v>22</v>
      </c>
      <c r="D16" s="15">
        <f>E16*12*$D$2</f>
        <v>89.75145273024228</v>
      </c>
      <c r="E16" s="21">
        <f>0.0171368855249406+0.0752</f>
        <v>0.0923368855249406</v>
      </c>
      <c r="F16" s="2"/>
    </row>
    <row r="17" spans="1:6" ht="15">
      <c r="A17" s="8"/>
      <c r="B17" s="24" t="s">
        <v>24</v>
      </c>
      <c r="C17" s="24"/>
      <c r="D17" s="25">
        <f>D7+D10+D12+D15</f>
        <v>1541.0013332178153</v>
      </c>
      <c r="E17" s="17">
        <f>E7+E10+E12+E15</f>
        <v>1.5853923181253244</v>
      </c>
      <c r="F17" s="5"/>
    </row>
    <row r="18" spans="1:6" ht="15">
      <c r="A18" s="26"/>
      <c r="B18" s="27"/>
      <c r="C18" s="28"/>
      <c r="D18" s="29"/>
      <c r="E18" s="30"/>
      <c r="F18" s="2"/>
    </row>
    <row r="19" spans="1:6" ht="105">
      <c r="A19" s="10" t="s">
        <v>25</v>
      </c>
      <c r="B19" s="10" t="s">
        <v>26</v>
      </c>
      <c r="C19" s="10" t="s">
        <v>27</v>
      </c>
      <c r="D19" s="10" t="s">
        <v>28</v>
      </c>
      <c r="E19" s="10" t="s">
        <v>29</v>
      </c>
      <c r="F19" s="10" t="s">
        <v>30</v>
      </c>
    </row>
    <row r="20" spans="1:6" ht="15">
      <c r="A20" s="10">
        <v>1</v>
      </c>
      <c r="B20" s="7" t="s">
        <v>110</v>
      </c>
      <c r="C20" s="10" t="s">
        <v>119</v>
      </c>
      <c r="D20" s="10">
        <v>1760.5</v>
      </c>
      <c r="E20" s="33">
        <f>D20/12/$D$2</f>
        <v>1.8112139917695473</v>
      </c>
      <c r="F20" s="34">
        <v>2</v>
      </c>
    </row>
    <row r="21" spans="1:6" ht="15">
      <c r="A21" s="10"/>
      <c r="B21" s="36" t="s">
        <v>31</v>
      </c>
      <c r="C21" s="9"/>
      <c r="D21" s="37">
        <f>SUM(D20:D20)</f>
        <v>1760.5</v>
      </c>
      <c r="E21" s="38">
        <f>SUM(E20:E20)</f>
        <v>1.8112139917695473</v>
      </c>
      <c r="F21" s="39"/>
    </row>
    <row r="22" spans="1:6" ht="15">
      <c r="A22" s="26"/>
      <c r="B22" s="27"/>
      <c r="C22" s="40"/>
      <c r="D22" s="40"/>
      <c r="E22" s="40"/>
      <c r="F22" s="40"/>
    </row>
    <row r="23" spans="1:6" ht="29.25">
      <c r="A23" s="26"/>
      <c r="B23" s="27" t="s">
        <v>32</v>
      </c>
      <c r="C23" s="41">
        <f>D17+D21</f>
        <v>3301.501333217815</v>
      </c>
      <c r="D23" s="41"/>
      <c r="E23" s="41"/>
      <c r="F23" s="40"/>
    </row>
    <row r="24" spans="1:6" ht="15">
      <c r="A24" s="26"/>
      <c r="B24" s="27" t="s">
        <v>33</v>
      </c>
      <c r="C24" s="42">
        <f>E17+E21</f>
        <v>3.396606309894872</v>
      </c>
      <c r="D24" s="40"/>
      <c r="E24" s="40"/>
      <c r="F24" s="40"/>
    </row>
    <row r="25" spans="1:6" ht="3" customHeight="1">
      <c r="A25" s="26"/>
      <c r="B25" s="27"/>
      <c r="C25" s="42"/>
      <c r="D25" s="40"/>
      <c r="E25" s="40"/>
      <c r="F25" s="40"/>
    </row>
    <row r="26" spans="1:6" ht="33" customHeight="1">
      <c r="A26" s="88" t="s">
        <v>111</v>
      </c>
      <c r="B26" s="88"/>
      <c r="C26" s="88"/>
      <c r="D26" s="88"/>
      <c r="E26" s="88"/>
      <c r="F26" s="88"/>
    </row>
    <row r="27" spans="1:6" ht="15">
      <c r="A27" s="1"/>
      <c r="B27" s="1"/>
      <c r="C27" s="1"/>
      <c r="D27" s="2"/>
      <c r="E27" s="2"/>
      <c r="F27" s="2"/>
    </row>
    <row r="28" spans="1:6" ht="85.5">
      <c r="A28" s="7"/>
      <c r="B28" s="8" t="s">
        <v>1</v>
      </c>
      <c r="C28" s="8" t="s">
        <v>2</v>
      </c>
      <c r="D28" s="8" t="s">
        <v>3</v>
      </c>
      <c r="E28" s="8" t="s">
        <v>4</v>
      </c>
      <c r="F28" s="2"/>
    </row>
    <row r="29" spans="1:5" ht="30" customHeight="1">
      <c r="A29" s="89" t="s">
        <v>123</v>
      </c>
      <c r="B29" s="89"/>
      <c r="C29" s="89"/>
      <c r="D29" s="17">
        <f>D30</f>
        <v>9.719999999999999</v>
      </c>
      <c r="E29" s="17">
        <f>E30</f>
        <v>0.01</v>
      </c>
    </row>
    <row r="30" spans="1:5" ht="30">
      <c r="A30" s="12" t="s">
        <v>5</v>
      </c>
      <c r="B30" s="43" t="s">
        <v>35</v>
      </c>
      <c r="C30" s="43" t="s">
        <v>42</v>
      </c>
      <c r="D30" s="15">
        <f>E30*12*$D$2</f>
        <v>9.719999999999999</v>
      </c>
      <c r="E30" s="44">
        <v>0.01</v>
      </c>
    </row>
    <row r="31" spans="1:5" ht="30" customHeight="1">
      <c r="A31" s="89" t="s">
        <v>102</v>
      </c>
      <c r="B31" s="89"/>
      <c r="C31" s="89"/>
      <c r="D31" s="17">
        <f>D32</f>
        <v>58.31999999999999</v>
      </c>
      <c r="E31" s="17">
        <f>E32</f>
        <v>0.06</v>
      </c>
    </row>
    <row r="32" spans="1:5" ht="15">
      <c r="A32" s="12" t="s">
        <v>34</v>
      </c>
      <c r="B32" s="45" t="s">
        <v>9</v>
      </c>
      <c r="C32" s="7" t="s">
        <v>42</v>
      </c>
      <c r="D32" s="15">
        <f>E32*$D$2*12</f>
        <v>58.31999999999999</v>
      </c>
      <c r="E32" s="16">
        <v>0.06</v>
      </c>
    </row>
    <row r="33" spans="1:6" ht="15">
      <c r="A33" s="8"/>
      <c r="B33" s="24" t="s">
        <v>24</v>
      </c>
      <c r="C33" s="24"/>
      <c r="D33" s="25">
        <f>D29+D31</f>
        <v>68.03999999999999</v>
      </c>
      <c r="E33" s="17">
        <f>E29+E31</f>
        <v>0.06999999999999999</v>
      </c>
      <c r="F33" s="5"/>
    </row>
    <row r="34" spans="1:6" ht="15">
      <c r="A34" s="2"/>
      <c r="B34" s="2"/>
      <c r="C34" s="2"/>
      <c r="D34" s="2"/>
      <c r="E34" s="2"/>
      <c r="F34" s="2"/>
    </row>
    <row r="35" spans="1:6" ht="15">
      <c r="A35" s="31"/>
      <c r="B35" s="31"/>
      <c r="C35" s="31"/>
      <c r="D35" s="31"/>
      <c r="E35" s="31"/>
      <c r="F35" s="32"/>
    </row>
    <row r="36" spans="1:6" ht="105">
      <c r="A36" s="10" t="s">
        <v>25</v>
      </c>
      <c r="B36" s="10" t="s">
        <v>26</v>
      </c>
      <c r="C36" s="10" t="s">
        <v>27</v>
      </c>
      <c r="D36" s="10" t="s">
        <v>28</v>
      </c>
      <c r="E36" s="10" t="s">
        <v>36</v>
      </c>
      <c r="F36" s="10" t="s">
        <v>30</v>
      </c>
    </row>
    <row r="37" spans="1:6" ht="15">
      <c r="A37" s="10">
        <v>1</v>
      </c>
      <c r="B37" s="7" t="s">
        <v>110</v>
      </c>
      <c r="C37" s="10" t="s">
        <v>119</v>
      </c>
      <c r="D37" s="10">
        <v>1760.5</v>
      </c>
      <c r="E37" s="46">
        <f>D37/12/$D$2</f>
        <v>1.8112139917695473</v>
      </c>
      <c r="F37" s="34">
        <v>2</v>
      </c>
    </row>
    <row r="38" spans="1:6" ht="15">
      <c r="A38" s="47"/>
      <c r="B38" s="47" t="s">
        <v>31</v>
      </c>
      <c r="C38" s="47"/>
      <c r="D38" s="48">
        <f>SUM(D37:D37)</f>
        <v>1760.5</v>
      </c>
      <c r="E38" s="49">
        <f>SUM(E37:E37)</f>
        <v>1.8112139917695473</v>
      </c>
      <c r="F38" s="47"/>
    </row>
    <row r="42" spans="2:3" ht="43.5">
      <c r="B42" s="27" t="s">
        <v>95</v>
      </c>
      <c r="C42" s="58">
        <f>C23</f>
        <v>3301.501333217815</v>
      </c>
    </row>
  </sheetData>
  <mergeCells count="8">
    <mergeCell ref="A4:E4"/>
    <mergeCell ref="A7:C7"/>
    <mergeCell ref="A10:C10"/>
    <mergeCell ref="A12:C12"/>
    <mergeCell ref="A31:C31"/>
    <mergeCell ref="A15:C15"/>
    <mergeCell ref="A26:F26"/>
    <mergeCell ref="A29:C29"/>
  </mergeCells>
  <printOptions/>
  <pageMargins left="0.7874015748031497" right="0.2362204724409449" top="0.5905511811023623" bottom="0.5905511811023623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70">
      <selection activeCell="A29" sqref="A29:C29"/>
    </sheetView>
  </sheetViews>
  <sheetFormatPr defaultColWidth="9.140625" defaultRowHeight="12.75"/>
  <cols>
    <col min="1" max="1" width="3.421875" style="3" customWidth="1"/>
    <col min="2" max="2" width="40.8515625" style="3" customWidth="1"/>
    <col min="3" max="3" width="17.421875" style="3" customWidth="1"/>
    <col min="4" max="4" width="11.28125" style="3" customWidth="1"/>
    <col min="5" max="5" width="11.8515625" style="3" customWidth="1"/>
    <col min="6" max="6" width="8.57421875" style="3" customWidth="1"/>
    <col min="7" max="16384" width="9.140625" style="3" customWidth="1"/>
  </cols>
  <sheetData>
    <row r="1" ht="15">
      <c r="B1" s="56" t="s">
        <v>70</v>
      </c>
    </row>
    <row r="2" spans="1:6" ht="24" customHeight="1">
      <c r="A2" s="2"/>
      <c r="B2" s="1" t="s">
        <v>121</v>
      </c>
      <c r="C2" s="4"/>
      <c r="D2" s="57">
        <v>49</v>
      </c>
      <c r="E2" s="5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40.5" customHeight="1">
      <c r="A4" s="88" t="s">
        <v>109</v>
      </c>
      <c r="B4" s="88"/>
      <c r="C4" s="88"/>
      <c r="D4" s="88"/>
      <c r="E4" s="88"/>
      <c r="F4" s="2"/>
    </row>
    <row r="5" spans="1:6" ht="15">
      <c r="A5" s="1"/>
      <c r="B5" s="1"/>
      <c r="C5" s="1"/>
      <c r="D5" s="1"/>
      <c r="E5" s="1"/>
      <c r="F5" s="2"/>
    </row>
    <row r="6" spans="1:6" ht="85.5">
      <c r="A6" s="7"/>
      <c r="B6" s="8" t="s">
        <v>1</v>
      </c>
      <c r="C6" s="8" t="s">
        <v>2</v>
      </c>
      <c r="D6" s="8" t="s">
        <v>3</v>
      </c>
      <c r="E6" s="8" t="s">
        <v>4</v>
      </c>
      <c r="F6" s="2"/>
    </row>
    <row r="7" spans="1:7" ht="15">
      <c r="A7" s="90" t="s">
        <v>37</v>
      </c>
      <c r="B7" s="91"/>
      <c r="C7" s="92"/>
      <c r="D7" s="17">
        <f>SUM(D8:D9)</f>
        <v>269.14248769331346</v>
      </c>
      <c r="E7" s="17">
        <f>SUM(E8:E9)</f>
        <v>0.4577253192063154</v>
      </c>
      <c r="F7" s="20"/>
      <c r="G7" s="19"/>
    </row>
    <row r="8" spans="1:7" ht="15.75" customHeight="1">
      <c r="A8" s="12">
        <v>1</v>
      </c>
      <c r="B8" s="7" t="s">
        <v>11</v>
      </c>
      <c r="C8" s="14" t="s">
        <v>12</v>
      </c>
      <c r="D8" s="15">
        <f>E8*$D$2*12</f>
        <v>246.24198325097294</v>
      </c>
      <c r="E8" s="21">
        <v>0.418778883079886</v>
      </c>
      <c r="F8" s="18"/>
      <c r="G8" s="19"/>
    </row>
    <row r="9" spans="1:7" ht="30">
      <c r="A9" s="12">
        <v>2</v>
      </c>
      <c r="B9" s="13" t="s">
        <v>13</v>
      </c>
      <c r="C9" s="13" t="s">
        <v>14</v>
      </c>
      <c r="D9" s="15">
        <f>E9*$D$2*12</f>
        <v>22.90050444234049</v>
      </c>
      <c r="E9" s="21">
        <v>0.0389464361264294</v>
      </c>
      <c r="F9" s="18"/>
      <c r="G9" s="19"/>
    </row>
    <row r="10" spans="1:7" ht="29.25" customHeight="1">
      <c r="A10" s="90" t="s">
        <v>103</v>
      </c>
      <c r="B10" s="93"/>
      <c r="C10" s="94"/>
      <c r="D10" s="22">
        <f>SUM(D11:D11)</f>
        <v>17.493366012269508</v>
      </c>
      <c r="E10" s="22">
        <f>SUM(E11:E11)</f>
        <v>0.0297506224698461</v>
      </c>
      <c r="F10" s="18"/>
      <c r="G10" s="19"/>
    </row>
    <row r="11" spans="1:6" ht="75" customHeight="1">
      <c r="A11" s="12">
        <v>3</v>
      </c>
      <c r="B11" s="13" t="s">
        <v>38</v>
      </c>
      <c r="C11" s="13" t="s">
        <v>7</v>
      </c>
      <c r="D11" s="15">
        <f>E11*12*$D$2</f>
        <v>17.493366012269508</v>
      </c>
      <c r="E11" s="15">
        <v>0.0297506224698461</v>
      </c>
      <c r="F11" s="2"/>
    </row>
    <row r="12" spans="1:9" ht="15">
      <c r="A12" s="95" t="s">
        <v>39</v>
      </c>
      <c r="B12" s="96"/>
      <c r="C12" s="96"/>
      <c r="D12" s="11">
        <f>SUM(D13:D14)</f>
        <v>706.2749806963366</v>
      </c>
      <c r="E12" s="11">
        <f>SUM(E13:E14)</f>
        <v>1.2011479263543139</v>
      </c>
      <c r="F12" s="2"/>
      <c r="G12" s="51"/>
      <c r="H12" s="51"/>
      <c r="I12" s="52"/>
    </row>
    <row r="13" spans="1:9" ht="61.5" customHeight="1">
      <c r="A13" s="12">
        <v>4</v>
      </c>
      <c r="B13" s="13" t="s">
        <v>43</v>
      </c>
      <c r="C13" s="13" t="s">
        <v>7</v>
      </c>
      <c r="D13" s="15">
        <f>E13*12*$D$2</f>
        <v>106.35075848755255</v>
      </c>
      <c r="E13" s="15">
        <f>0.0836268703481988+0.097241766535394</f>
        <v>0.18086863688359278</v>
      </c>
      <c r="F13" s="2"/>
      <c r="G13" s="51"/>
      <c r="H13" s="51"/>
      <c r="I13" s="52"/>
    </row>
    <row r="14" spans="1:9" ht="75">
      <c r="A14" s="12">
        <v>5</v>
      </c>
      <c r="B14" s="13" t="s">
        <v>19</v>
      </c>
      <c r="C14" s="13" t="s">
        <v>40</v>
      </c>
      <c r="D14" s="15">
        <f>E14*12*$D$2</f>
        <v>599.924222208784</v>
      </c>
      <c r="E14" s="21">
        <f>0.907756174870721+0.1125231146</f>
        <v>1.020279289470721</v>
      </c>
      <c r="F14" s="2"/>
      <c r="G14" s="54"/>
      <c r="H14" s="54"/>
      <c r="I14" s="54"/>
    </row>
    <row r="15" spans="1:9" ht="15">
      <c r="A15" s="95" t="s">
        <v>41</v>
      </c>
      <c r="B15" s="95"/>
      <c r="C15" s="95"/>
      <c r="D15" s="23">
        <f>SUM(D16)</f>
        <v>84.91396490909372</v>
      </c>
      <c r="E15" s="22">
        <f>SUM(E16)</f>
        <v>0.1444115049474383</v>
      </c>
      <c r="F15" s="2"/>
      <c r="G15" s="54"/>
      <c r="H15" s="54"/>
      <c r="I15" s="54"/>
    </row>
    <row r="16" spans="1:6" ht="15">
      <c r="A16" s="12">
        <v>6</v>
      </c>
      <c r="B16" s="13" t="s">
        <v>21</v>
      </c>
      <c r="C16" s="13" t="s">
        <v>22</v>
      </c>
      <c r="D16" s="15">
        <f>E16*12*$D$2</f>
        <v>84.91396490909372</v>
      </c>
      <c r="E16" s="21">
        <f>0.0201257906617243+0.124285714285714</f>
        <v>0.1444115049474383</v>
      </c>
      <c r="F16" s="2"/>
    </row>
    <row r="17" spans="1:6" ht="15">
      <c r="A17" s="8"/>
      <c r="B17" s="24" t="s">
        <v>24</v>
      </c>
      <c r="C17" s="24"/>
      <c r="D17" s="25">
        <f>D7+D10+D12+D15</f>
        <v>1077.8247993110133</v>
      </c>
      <c r="E17" s="17">
        <f>E7+E10+E12+E15</f>
        <v>1.8330353729779136</v>
      </c>
      <c r="F17" s="5"/>
    </row>
    <row r="18" spans="1:6" ht="15">
      <c r="A18" s="26"/>
      <c r="B18" s="27"/>
      <c r="C18" s="28"/>
      <c r="D18" s="29"/>
      <c r="E18" s="30"/>
      <c r="F18" s="2"/>
    </row>
    <row r="19" spans="1:6" ht="105">
      <c r="A19" s="10" t="s">
        <v>25</v>
      </c>
      <c r="B19" s="10" t="s">
        <v>26</v>
      </c>
      <c r="C19" s="10" t="s">
        <v>27</v>
      </c>
      <c r="D19" s="10" t="s">
        <v>28</v>
      </c>
      <c r="E19" s="10" t="s">
        <v>29</v>
      </c>
      <c r="F19" s="10" t="s">
        <v>30</v>
      </c>
    </row>
    <row r="20" spans="1:6" ht="15">
      <c r="A20" s="10">
        <v>1</v>
      </c>
      <c r="B20" s="7" t="s">
        <v>110</v>
      </c>
      <c r="C20" s="10" t="s">
        <v>46</v>
      </c>
      <c r="D20" s="10">
        <v>1006</v>
      </c>
      <c r="E20" s="33">
        <f>D20/12/$D$2</f>
        <v>1.7108843537414966</v>
      </c>
      <c r="F20" s="34">
        <v>2</v>
      </c>
    </row>
    <row r="21" spans="1:6" ht="15">
      <c r="A21" s="10"/>
      <c r="B21" s="36" t="s">
        <v>31</v>
      </c>
      <c r="C21" s="9"/>
      <c r="D21" s="37">
        <f>SUM(D20:D20)</f>
        <v>1006</v>
      </c>
      <c r="E21" s="38">
        <f>SUM(E20:E20)</f>
        <v>1.7108843537414966</v>
      </c>
      <c r="F21" s="39"/>
    </row>
    <row r="22" spans="1:6" ht="15">
      <c r="A22" s="26"/>
      <c r="B22" s="27"/>
      <c r="C22" s="40"/>
      <c r="D22" s="40"/>
      <c r="E22" s="40"/>
      <c r="F22" s="40"/>
    </row>
    <row r="23" spans="1:6" ht="29.25">
      <c r="A23" s="26"/>
      <c r="B23" s="27" t="s">
        <v>32</v>
      </c>
      <c r="C23" s="41">
        <f>D17+D21</f>
        <v>2083.8247993110135</v>
      </c>
      <c r="D23" s="41"/>
      <c r="E23" s="41"/>
      <c r="F23" s="40"/>
    </row>
    <row r="24" spans="1:6" ht="15">
      <c r="A24" s="26"/>
      <c r="B24" s="27" t="s">
        <v>33</v>
      </c>
      <c r="C24" s="42">
        <f>E17+E21</f>
        <v>3.5439197267194102</v>
      </c>
      <c r="D24" s="40"/>
      <c r="E24" s="40"/>
      <c r="F24" s="40"/>
    </row>
    <row r="25" spans="1:6" ht="3" customHeight="1">
      <c r="A25" s="26"/>
      <c r="B25" s="27"/>
      <c r="C25" s="42"/>
      <c r="D25" s="40"/>
      <c r="E25" s="40"/>
      <c r="F25" s="40"/>
    </row>
    <row r="26" spans="1:6" ht="30.75" customHeight="1">
      <c r="A26" s="88" t="s">
        <v>111</v>
      </c>
      <c r="B26" s="88"/>
      <c r="C26" s="88"/>
      <c r="D26" s="88"/>
      <c r="E26" s="88"/>
      <c r="F26" s="88"/>
    </row>
    <row r="27" spans="1:6" ht="6" customHeight="1">
      <c r="A27" s="1"/>
      <c r="B27" s="1"/>
      <c r="C27" s="1"/>
      <c r="D27" s="2"/>
      <c r="E27" s="2"/>
      <c r="F27" s="2"/>
    </row>
    <row r="28" spans="1:6" ht="85.5">
      <c r="A28" s="7"/>
      <c r="B28" s="8" t="s">
        <v>1</v>
      </c>
      <c r="C28" s="8" t="s">
        <v>2</v>
      </c>
      <c r="D28" s="8" t="s">
        <v>3</v>
      </c>
      <c r="E28" s="8" t="s">
        <v>4</v>
      </c>
      <c r="F28" s="2"/>
    </row>
    <row r="29" spans="1:5" ht="30" customHeight="1">
      <c r="A29" s="89" t="s">
        <v>123</v>
      </c>
      <c r="B29" s="89"/>
      <c r="C29" s="89"/>
      <c r="D29" s="17">
        <f>D30</f>
        <v>5.88</v>
      </c>
      <c r="E29" s="17">
        <f>E30</f>
        <v>0.01</v>
      </c>
    </row>
    <row r="30" spans="1:5" ht="30">
      <c r="A30" s="12" t="s">
        <v>5</v>
      </c>
      <c r="B30" s="43" t="s">
        <v>35</v>
      </c>
      <c r="C30" s="43" t="s">
        <v>42</v>
      </c>
      <c r="D30" s="15">
        <f>E30*12*$D$2</f>
        <v>5.88</v>
      </c>
      <c r="E30" s="44">
        <v>0.01</v>
      </c>
    </row>
    <row r="31" spans="1:5" ht="30" customHeight="1">
      <c r="A31" s="89" t="s">
        <v>102</v>
      </c>
      <c r="B31" s="89"/>
      <c r="C31" s="89"/>
      <c r="D31" s="17">
        <f>D32</f>
        <v>35.28</v>
      </c>
      <c r="E31" s="17">
        <f>E32</f>
        <v>0.06</v>
      </c>
    </row>
    <row r="32" spans="1:5" ht="15">
      <c r="A32" s="12" t="s">
        <v>34</v>
      </c>
      <c r="B32" s="45" t="s">
        <v>9</v>
      </c>
      <c r="C32" s="7" t="s">
        <v>42</v>
      </c>
      <c r="D32" s="15">
        <f>E32*$D$2*12</f>
        <v>35.28</v>
      </c>
      <c r="E32" s="16">
        <v>0.06</v>
      </c>
    </row>
    <row r="33" spans="1:6" ht="15">
      <c r="A33" s="8"/>
      <c r="B33" s="24" t="s">
        <v>24</v>
      </c>
      <c r="C33" s="24"/>
      <c r="D33" s="25">
        <f>D29+D31</f>
        <v>41.160000000000004</v>
      </c>
      <c r="E33" s="17">
        <f>E29+E31</f>
        <v>0.06999999999999999</v>
      </c>
      <c r="F33" s="5"/>
    </row>
    <row r="34" spans="1:6" ht="5.25" customHeight="1">
      <c r="A34" s="2"/>
      <c r="B34" s="2"/>
      <c r="C34" s="2"/>
      <c r="D34" s="2"/>
      <c r="E34" s="2"/>
      <c r="F34" s="2"/>
    </row>
    <row r="35" spans="1:6" ht="7.5" customHeight="1">
      <c r="A35" s="31"/>
      <c r="B35" s="31"/>
      <c r="C35" s="31"/>
      <c r="D35" s="31"/>
      <c r="E35" s="31"/>
      <c r="F35" s="32"/>
    </row>
    <row r="36" spans="1:6" ht="105">
      <c r="A36" s="10" t="s">
        <v>25</v>
      </c>
      <c r="B36" s="10" t="s">
        <v>26</v>
      </c>
      <c r="C36" s="10" t="s">
        <v>27</v>
      </c>
      <c r="D36" s="10" t="s">
        <v>28</v>
      </c>
      <c r="E36" s="10" t="s">
        <v>36</v>
      </c>
      <c r="F36" s="10" t="s">
        <v>30</v>
      </c>
    </row>
    <row r="37" spans="1:6" ht="15">
      <c r="A37" s="10">
        <v>1</v>
      </c>
      <c r="B37" s="7" t="s">
        <v>110</v>
      </c>
      <c r="C37" s="10" t="s">
        <v>46</v>
      </c>
      <c r="D37" s="10">
        <v>1006</v>
      </c>
      <c r="E37" s="46">
        <f>D37/12/$D$2</f>
        <v>1.7108843537414966</v>
      </c>
      <c r="F37" s="34">
        <v>2</v>
      </c>
    </row>
    <row r="38" spans="1:6" ht="15">
      <c r="A38" s="47"/>
      <c r="B38" s="47" t="s">
        <v>31</v>
      </c>
      <c r="C38" s="47"/>
      <c r="D38" s="48">
        <f>SUM(D37:D37)</f>
        <v>1006</v>
      </c>
      <c r="E38" s="49">
        <f>SUM(E37:E37)</f>
        <v>1.7108843537414966</v>
      </c>
      <c r="F38" s="47"/>
    </row>
    <row r="39" ht="9" customHeight="1"/>
    <row r="40" ht="6" customHeight="1"/>
    <row r="41" spans="1:6" ht="15">
      <c r="A41" s="2"/>
      <c r="B41" s="1" t="s">
        <v>122</v>
      </c>
      <c r="C41" s="4"/>
      <c r="D41" s="57">
        <v>49</v>
      </c>
      <c r="E41" s="5" t="s">
        <v>0</v>
      </c>
      <c r="F41" s="2"/>
    </row>
    <row r="42" spans="1:6" ht="6.75" customHeight="1">
      <c r="A42" s="2"/>
      <c r="B42" s="6"/>
      <c r="C42" s="2"/>
      <c r="D42" s="2"/>
      <c r="E42" s="2"/>
      <c r="F42" s="2"/>
    </row>
    <row r="43" spans="1:6" ht="28.5" customHeight="1">
      <c r="A43" s="88" t="s">
        <v>109</v>
      </c>
      <c r="B43" s="88"/>
      <c r="C43" s="88"/>
      <c r="D43" s="88"/>
      <c r="E43" s="88"/>
      <c r="F43" s="2"/>
    </row>
    <row r="44" spans="1:6" ht="6.75" customHeight="1">
      <c r="A44" s="1"/>
      <c r="B44" s="1"/>
      <c r="C44" s="1"/>
      <c r="D44" s="1"/>
      <c r="E44" s="1"/>
      <c r="F44" s="2"/>
    </row>
    <row r="45" spans="1:6" ht="85.5">
      <c r="A45" s="7"/>
      <c r="B45" s="8" t="s">
        <v>1</v>
      </c>
      <c r="C45" s="8" t="s">
        <v>2</v>
      </c>
      <c r="D45" s="8" t="s">
        <v>3</v>
      </c>
      <c r="E45" s="8" t="s">
        <v>4</v>
      </c>
      <c r="F45" s="2"/>
    </row>
    <row r="46" spans="1:7" ht="15">
      <c r="A46" s="90" t="s">
        <v>37</v>
      </c>
      <c r="B46" s="91"/>
      <c r="C46" s="92"/>
      <c r="D46" s="17">
        <f>SUM(D47:D48)</f>
        <v>269.14248769331346</v>
      </c>
      <c r="E46" s="17">
        <f>SUM(E47:E48)</f>
        <v>0.4577253192063154</v>
      </c>
      <c r="F46" s="20"/>
      <c r="G46" s="19"/>
    </row>
    <row r="47" spans="1:7" ht="15.75" customHeight="1">
      <c r="A47" s="12">
        <v>1</v>
      </c>
      <c r="B47" s="7" t="s">
        <v>11</v>
      </c>
      <c r="C47" s="14" t="s">
        <v>12</v>
      </c>
      <c r="D47" s="15">
        <f>E47*$D$41*12</f>
        <v>246.24198325097294</v>
      </c>
      <c r="E47" s="21">
        <v>0.418778883079886</v>
      </c>
      <c r="F47" s="18"/>
      <c r="G47" s="19"/>
    </row>
    <row r="48" spans="1:7" ht="30">
      <c r="A48" s="12">
        <v>2</v>
      </c>
      <c r="B48" s="13" t="s">
        <v>13</v>
      </c>
      <c r="C48" s="13" t="s">
        <v>14</v>
      </c>
      <c r="D48" s="15">
        <f>E48*$D$41*12</f>
        <v>22.90050444234049</v>
      </c>
      <c r="E48" s="21">
        <v>0.0389464361264294</v>
      </c>
      <c r="F48" s="18"/>
      <c r="G48" s="19"/>
    </row>
    <row r="49" spans="1:7" ht="29.25" customHeight="1">
      <c r="A49" s="90" t="s">
        <v>103</v>
      </c>
      <c r="B49" s="93"/>
      <c r="C49" s="94"/>
      <c r="D49" s="22">
        <f>SUM(D50:D50)</f>
        <v>17.493366012269508</v>
      </c>
      <c r="E49" s="22">
        <f>SUM(E50:E50)</f>
        <v>0.0297506224698461</v>
      </c>
      <c r="F49" s="18"/>
      <c r="G49" s="19"/>
    </row>
    <row r="50" spans="1:6" ht="63" customHeight="1">
      <c r="A50" s="12">
        <v>3</v>
      </c>
      <c r="B50" s="13" t="s">
        <v>38</v>
      </c>
      <c r="C50" s="13" t="s">
        <v>7</v>
      </c>
      <c r="D50" s="15">
        <f>E50*$D$41*12</f>
        <v>17.493366012269508</v>
      </c>
      <c r="E50" s="15">
        <v>0.0297506224698461</v>
      </c>
      <c r="F50" s="2"/>
    </row>
    <row r="51" spans="1:9" ht="15">
      <c r="A51" s="95" t="s">
        <v>39</v>
      </c>
      <c r="B51" s="96"/>
      <c r="C51" s="96"/>
      <c r="D51" s="11">
        <f>SUM(D52:D53)</f>
        <v>706.2749806963366</v>
      </c>
      <c r="E51" s="11">
        <f>SUM(E52:E53)</f>
        <v>1.2011479263543139</v>
      </c>
      <c r="F51" s="2"/>
      <c r="G51" s="51"/>
      <c r="H51" s="51"/>
      <c r="I51" s="52"/>
    </row>
    <row r="52" spans="1:9" ht="61.5" customHeight="1">
      <c r="A52" s="12">
        <v>4</v>
      </c>
      <c r="B52" s="13" t="s">
        <v>43</v>
      </c>
      <c r="C52" s="13" t="s">
        <v>7</v>
      </c>
      <c r="D52" s="15">
        <f>E52*$D$41*12</f>
        <v>106.35075848755255</v>
      </c>
      <c r="E52" s="15">
        <f>0.0836268703481988+0.097241766535394</f>
        <v>0.18086863688359278</v>
      </c>
      <c r="F52" s="2"/>
      <c r="G52" s="51"/>
      <c r="H52" s="51"/>
      <c r="I52" s="52"/>
    </row>
    <row r="53" spans="1:9" ht="75">
      <c r="A53" s="12">
        <v>5</v>
      </c>
      <c r="B53" s="13" t="s">
        <v>19</v>
      </c>
      <c r="C53" s="13" t="s">
        <v>40</v>
      </c>
      <c r="D53" s="15">
        <f>E53*$D$41*12</f>
        <v>599.924222208784</v>
      </c>
      <c r="E53" s="21">
        <f>0.907756174870721+0.1125231146</f>
        <v>1.020279289470721</v>
      </c>
      <c r="F53" s="2"/>
      <c r="G53" s="54"/>
      <c r="H53" s="54"/>
      <c r="I53" s="54"/>
    </row>
    <row r="54" spans="1:9" ht="15">
      <c r="A54" s="95" t="s">
        <v>41</v>
      </c>
      <c r="B54" s="95"/>
      <c r="C54" s="95"/>
      <c r="D54" s="23">
        <f>SUM(D55)</f>
        <v>84.9139649090937</v>
      </c>
      <c r="E54" s="22">
        <f>SUM(E55)</f>
        <v>0.1444115049474383</v>
      </c>
      <c r="F54" s="2"/>
      <c r="G54" s="54"/>
      <c r="H54" s="54"/>
      <c r="I54" s="54"/>
    </row>
    <row r="55" spans="1:6" ht="15">
      <c r="A55" s="12">
        <v>6</v>
      </c>
      <c r="B55" s="13" t="s">
        <v>21</v>
      </c>
      <c r="C55" s="13" t="s">
        <v>22</v>
      </c>
      <c r="D55" s="15">
        <f>E55*$D$41*12</f>
        <v>84.9139649090937</v>
      </c>
      <c r="E55" s="21">
        <f>0.0201257906617243+0.124285714285714</f>
        <v>0.1444115049474383</v>
      </c>
      <c r="F55" s="2"/>
    </row>
    <row r="56" spans="1:6" ht="15">
      <c r="A56" s="8"/>
      <c r="B56" s="24" t="s">
        <v>24</v>
      </c>
      <c r="C56" s="24"/>
      <c r="D56" s="25">
        <f>D46+D49+D51+D54</f>
        <v>1077.8247993110133</v>
      </c>
      <c r="E56" s="17">
        <f>E46+E49+E51+E54</f>
        <v>1.8330353729779136</v>
      </c>
      <c r="F56" s="5"/>
    </row>
    <row r="57" spans="1:6" ht="6" customHeight="1">
      <c r="A57" s="26"/>
      <c r="B57" s="27"/>
      <c r="C57" s="28"/>
      <c r="D57" s="29"/>
      <c r="E57" s="30"/>
      <c r="F57" s="2"/>
    </row>
    <row r="58" spans="1:6" ht="105">
      <c r="A58" s="10" t="s">
        <v>25</v>
      </c>
      <c r="B58" s="10" t="s">
        <v>26</v>
      </c>
      <c r="C58" s="10" t="s">
        <v>27</v>
      </c>
      <c r="D58" s="10" t="s">
        <v>28</v>
      </c>
      <c r="E58" s="10" t="s">
        <v>29</v>
      </c>
      <c r="F58" s="10" t="s">
        <v>30</v>
      </c>
    </row>
    <row r="59" spans="1:6" ht="15">
      <c r="A59" s="10">
        <v>1</v>
      </c>
      <c r="B59" s="7" t="s">
        <v>110</v>
      </c>
      <c r="C59" s="10" t="s">
        <v>46</v>
      </c>
      <c r="D59" s="10">
        <v>1006</v>
      </c>
      <c r="E59" s="33">
        <f>D59/12/$D$41</f>
        <v>1.7108843537414966</v>
      </c>
      <c r="F59" s="34">
        <v>2</v>
      </c>
    </row>
    <row r="60" spans="1:6" ht="15">
      <c r="A60" s="10"/>
      <c r="B60" s="36" t="s">
        <v>31</v>
      </c>
      <c r="C60" s="9"/>
      <c r="D60" s="37">
        <f>SUM(D59:D59)</f>
        <v>1006</v>
      </c>
      <c r="E60" s="38">
        <f>SUM(E59:E59)</f>
        <v>1.7108843537414966</v>
      </c>
      <c r="F60" s="39"/>
    </row>
    <row r="61" spans="1:6" ht="12.75" customHeight="1">
      <c r="A61" s="26"/>
      <c r="B61" s="27"/>
      <c r="C61" s="40"/>
      <c r="D61" s="40"/>
      <c r="E61" s="40"/>
      <c r="F61" s="40"/>
    </row>
    <row r="62" spans="1:6" ht="29.25">
      <c r="A62" s="26"/>
      <c r="B62" s="27" t="s">
        <v>32</v>
      </c>
      <c r="C62" s="41">
        <f>D56+D60</f>
        <v>2083.8247993110135</v>
      </c>
      <c r="D62" s="41"/>
      <c r="E62" s="41"/>
      <c r="F62" s="40"/>
    </row>
    <row r="63" spans="1:6" ht="15">
      <c r="A63" s="26"/>
      <c r="B63" s="27" t="s">
        <v>33</v>
      </c>
      <c r="C63" s="42">
        <f>E56+E60</f>
        <v>3.5439197267194102</v>
      </c>
      <c r="D63" s="40"/>
      <c r="E63" s="40"/>
      <c r="F63" s="40"/>
    </row>
    <row r="64" spans="1:6" ht="3" customHeight="1">
      <c r="A64" s="26"/>
      <c r="B64" s="27"/>
      <c r="C64" s="42"/>
      <c r="D64" s="40"/>
      <c r="E64" s="40"/>
      <c r="F64" s="40"/>
    </row>
    <row r="65" spans="1:6" ht="33" customHeight="1">
      <c r="A65" s="88" t="s">
        <v>111</v>
      </c>
      <c r="B65" s="88"/>
      <c r="C65" s="88"/>
      <c r="D65" s="88"/>
      <c r="E65" s="88"/>
      <c r="F65" s="88"/>
    </row>
    <row r="66" spans="1:6" ht="4.5" customHeight="1">
      <c r="A66" s="1"/>
      <c r="B66" s="1"/>
      <c r="C66" s="1"/>
      <c r="D66" s="2"/>
      <c r="E66" s="2"/>
      <c r="F66" s="2"/>
    </row>
    <row r="67" spans="1:6" ht="85.5">
      <c r="A67" s="7"/>
      <c r="B67" s="8" t="s">
        <v>1</v>
      </c>
      <c r="C67" s="8" t="s">
        <v>2</v>
      </c>
      <c r="D67" s="8" t="s">
        <v>3</v>
      </c>
      <c r="E67" s="8" t="s">
        <v>4</v>
      </c>
      <c r="F67" s="2"/>
    </row>
    <row r="68" spans="1:5" ht="30" customHeight="1">
      <c r="A68" s="89" t="s">
        <v>123</v>
      </c>
      <c r="B68" s="89"/>
      <c r="C68" s="89"/>
      <c r="D68" s="17">
        <f>D69</f>
        <v>5.88</v>
      </c>
      <c r="E68" s="17">
        <f>E69</f>
        <v>0.01</v>
      </c>
    </row>
    <row r="69" spans="1:5" ht="30">
      <c r="A69" s="12" t="s">
        <v>5</v>
      </c>
      <c r="B69" s="43" t="s">
        <v>35</v>
      </c>
      <c r="C69" s="43" t="s">
        <v>42</v>
      </c>
      <c r="D69" s="15">
        <f>E69*$D$41*12</f>
        <v>5.88</v>
      </c>
      <c r="E69" s="44">
        <v>0.01</v>
      </c>
    </row>
    <row r="70" spans="1:5" ht="30" customHeight="1">
      <c r="A70" s="89" t="s">
        <v>102</v>
      </c>
      <c r="B70" s="89"/>
      <c r="C70" s="89"/>
      <c r="D70" s="17">
        <f>D71</f>
        <v>35.28</v>
      </c>
      <c r="E70" s="17">
        <f>E71</f>
        <v>0.06</v>
      </c>
    </row>
    <row r="71" spans="1:5" ht="15">
      <c r="A71" s="12" t="s">
        <v>34</v>
      </c>
      <c r="B71" s="45" t="s">
        <v>9</v>
      </c>
      <c r="C71" s="7" t="s">
        <v>42</v>
      </c>
      <c r="D71" s="15">
        <f>E71*$D$41*12</f>
        <v>35.28</v>
      </c>
      <c r="E71" s="16">
        <v>0.06</v>
      </c>
    </row>
    <row r="72" spans="1:6" ht="15">
      <c r="A72" s="8"/>
      <c r="B72" s="24" t="s">
        <v>24</v>
      </c>
      <c r="C72" s="24"/>
      <c r="D72" s="25">
        <f>D68+D70</f>
        <v>41.160000000000004</v>
      </c>
      <c r="E72" s="17">
        <f>E68+E70</f>
        <v>0.06999999999999999</v>
      </c>
      <c r="F72" s="5"/>
    </row>
    <row r="73" spans="1:6" ht="6.75" customHeight="1">
      <c r="A73" s="2"/>
      <c r="B73" s="2"/>
      <c r="C73" s="2"/>
      <c r="D73" s="2"/>
      <c r="E73" s="2"/>
      <c r="F73" s="2"/>
    </row>
    <row r="74" spans="1:6" ht="5.25" customHeight="1">
      <c r="A74" s="31"/>
      <c r="B74" s="31"/>
      <c r="C74" s="31"/>
      <c r="D74" s="31"/>
      <c r="E74" s="31"/>
      <c r="F74" s="32"/>
    </row>
    <row r="75" spans="1:6" ht="105">
      <c r="A75" s="10" t="s">
        <v>25</v>
      </c>
      <c r="B75" s="10" t="s">
        <v>26</v>
      </c>
      <c r="C75" s="10" t="s">
        <v>27</v>
      </c>
      <c r="D75" s="10" t="s">
        <v>28</v>
      </c>
      <c r="E75" s="10" t="s">
        <v>36</v>
      </c>
      <c r="F75" s="10" t="s">
        <v>30</v>
      </c>
    </row>
    <row r="76" spans="1:6" ht="15">
      <c r="A76" s="10">
        <v>1</v>
      </c>
      <c r="B76" s="7" t="s">
        <v>110</v>
      </c>
      <c r="C76" s="10" t="s">
        <v>46</v>
      </c>
      <c r="D76" s="10">
        <v>1006</v>
      </c>
      <c r="E76" s="33">
        <f>D76/12/$D$41</f>
        <v>1.7108843537414966</v>
      </c>
      <c r="F76" s="34">
        <v>2</v>
      </c>
    </row>
    <row r="77" spans="1:6" ht="15">
      <c r="A77" s="47"/>
      <c r="B77" s="47" t="s">
        <v>31</v>
      </c>
      <c r="C77" s="47"/>
      <c r="D77" s="48">
        <f>SUM(D76:D76)</f>
        <v>1006</v>
      </c>
      <c r="E77" s="49">
        <f>SUM(E76:E76)</f>
        <v>1.7108843537414966</v>
      </c>
      <c r="F77" s="47"/>
    </row>
    <row r="78" ht="9.75" customHeight="1"/>
    <row r="80" spans="2:3" ht="43.5">
      <c r="B80" s="27" t="s">
        <v>96</v>
      </c>
      <c r="C80" s="58">
        <f>C23+C62</f>
        <v>4167.649598622027</v>
      </c>
    </row>
  </sheetData>
  <mergeCells count="16">
    <mergeCell ref="A65:F65"/>
    <mergeCell ref="A68:C68"/>
    <mergeCell ref="A70:C70"/>
    <mergeCell ref="A46:C46"/>
    <mergeCell ref="A49:C49"/>
    <mergeCell ref="A51:C51"/>
    <mergeCell ref="A54:C54"/>
    <mergeCell ref="A4:E4"/>
    <mergeCell ref="A7:C7"/>
    <mergeCell ref="A10:C10"/>
    <mergeCell ref="A43:E43"/>
    <mergeCell ref="A12:C12"/>
    <mergeCell ref="A31:C31"/>
    <mergeCell ref="A15:C15"/>
    <mergeCell ref="A26:F26"/>
    <mergeCell ref="A29:C29"/>
  </mergeCells>
  <printOptions/>
  <pageMargins left="0.7874015748031497" right="0.2362204724409449" top="0.5905511811023623" bottom="0.5905511811023623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36"/>
  <sheetViews>
    <sheetView workbookViewId="0" topLeftCell="A31">
      <selection activeCell="B37" sqref="B37:C37"/>
    </sheetView>
  </sheetViews>
  <sheetFormatPr defaultColWidth="9.140625" defaultRowHeight="12.75"/>
  <cols>
    <col min="1" max="1" width="3.421875" style="3" customWidth="1"/>
    <col min="2" max="2" width="40.8515625" style="3" customWidth="1"/>
    <col min="3" max="3" width="17.421875" style="3" customWidth="1"/>
    <col min="4" max="4" width="11.28125" style="3" customWidth="1"/>
    <col min="5" max="5" width="11.8515625" style="3" customWidth="1"/>
    <col min="6" max="6" width="8.57421875" style="3" customWidth="1"/>
    <col min="7" max="16384" width="9.140625" style="3" customWidth="1"/>
  </cols>
  <sheetData>
    <row r="1" ht="15">
      <c r="B1" s="56" t="s">
        <v>71</v>
      </c>
    </row>
    <row r="2" spans="1:6" ht="20.25" customHeight="1">
      <c r="A2" s="2"/>
      <c r="B2" s="1" t="s">
        <v>124</v>
      </c>
      <c r="C2" s="4"/>
      <c r="D2" s="50">
        <v>2993.6</v>
      </c>
      <c r="E2" s="5" t="s">
        <v>0</v>
      </c>
      <c r="F2" s="2"/>
    </row>
    <row r="3" spans="1:6" ht="6" customHeight="1">
      <c r="A3" s="2"/>
      <c r="B3" s="6"/>
      <c r="C3" s="2"/>
      <c r="D3" s="2"/>
      <c r="E3" s="2"/>
      <c r="F3" s="2"/>
    </row>
    <row r="4" spans="1:6" ht="32.25" customHeight="1">
      <c r="A4" s="88" t="s">
        <v>109</v>
      </c>
      <c r="B4" s="88"/>
      <c r="C4" s="88"/>
      <c r="D4" s="88"/>
      <c r="E4" s="88"/>
      <c r="F4" s="2"/>
    </row>
    <row r="5" spans="1:6" ht="4.5" customHeight="1">
      <c r="A5" s="1"/>
      <c r="B5" s="1"/>
      <c r="C5" s="1"/>
      <c r="D5" s="1"/>
      <c r="E5" s="1"/>
      <c r="F5" s="2"/>
    </row>
    <row r="6" spans="1:6" ht="85.5">
      <c r="A6" s="7"/>
      <c r="B6" s="8" t="s">
        <v>1</v>
      </c>
      <c r="C6" s="8" t="s">
        <v>2</v>
      </c>
      <c r="D6" s="8" t="s">
        <v>3</v>
      </c>
      <c r="E6" s="8" t="s">
        <v>4</v>
      </c>
      <c r="F6" s="2"/>
    </row>
    <row r="7" spans="1:6" s="60" customFormat="1" ht="15">
      <c r="A7" s="100" t="s">
        <v>125</v>
      </c>
      <c r="B7" s="101"/>
      <c r="C7" s="101"/>
      <c r="D7" s="62">
        <f>SUM(D8:D11)</f>
        <v>26078.9762195022</v>
      </c>
      <c r="E7" s="62">
        <f>SUM(E8:E11)</f>
        <v>0.7259647308564438</v>
      </c>
      <c r="F7" s="59"/>
    </row>
    <row r="8" spans="1:6" s="60" customFormat="1" ht="30">
      <c r="A8" s="63">
        <v>1</v>
      </c>
      <c r="B8" s="64" t="s">
        <v>126</v>
      </c>
      <c r="C8" s="65" t="s">
        <v>6</v>
      </c>
      <c r="D8" s="66">
        <f>E8*$D$2*12</f>
        <v>12523.445270041011</v>
      </c>
      <c r="E8" s="67">
        <v>0.348617196409034</v>
      </c>
      <c r="F8" s="59"/>
    </row>
    <row r="9" spans="1:6" s="60" customFormat="1" ht="15">
      <c r="A9" s="63">
        <v>2</v>
      </c>
      <c r="B9" s="64" t="s">
        <v>129</v>
      </c>
      <c r="C9" s="64" t="s">
        <v>127</v>
      </c>
      <c r="D9" s="66">
        <f>E9*$D$2*12</f>
        <v>12523.445270041011</v>
      </c>
      <c r="E9" s="67">
        <v>0.348617196409034</v>
      </c>
      <c r="F9" s="59"/>
    </row>
    <row r="10" spans="1:6" s="60" customFormat="1" ht="30">
      <c r="A10" s="63">
        <v>3</v>
      </c>
      <c r="B10" s="64" t="s">
        <v>131</v>
      </c>
      <c r="C10" s="64" t="s">
        <v>130</v>
      </c>
      <c r="D10" s="66">
        <f>E10*$D$2*12</f>
        <v>603.6738802775235</v>
      </c>
      <c r="E10" s="67">
        <f>0.0148492887903948+0.00195527985264155</f>
        <v>0.016804568643036352</v>
      </c>
      <c r="F10" s="59"/>
    </row>
    <row r="11" spans="1:6" s="60" customFormat="1" ht="15">
      <c r="A11" s="63">
        <v>4</v>
      </c>
      <c r="B11" s="64" t="s">
        <v>132</v>
      </c>
      <c r="C11" s="64" t="s">
        <v>7</v>
      </c>
      <c r="D11" s="66">
        <f>E11*$D$2*12</f>
        <v>428.4117991426563</v>
      </c>
      <c r="E11" s="67">
        <v>0.0119257693953394</v>
      </c>
      <c r="F11" s="59"/>
    </row>
    <row r="12" spans="1:6" s="60" customFormat="1" ht="30.75" customHeight="1">
      <c r="A12" s="89" t="s">
        <v>102</v>
      </c>
      <c r="B12" s="89"/>
      <c r="C12" s="89"/>
      <c r="D12" s="68">
        <f>SUM(D13:D20)</f>
        <v>60874.18404188862</v>
      </c>
      <c r="E12" s="68">
        <f>SUM(E13:E20)</f>
        <v>1.694564627925369</v>
      </c>
      <c r="F12" s="69"/>
    </row>
    <row r="13" spans="1:6" s="60" customFormat="1" ht="30">
      <c r="A13" s="63">
        <v>5</v>
      </c>
      <c r="B13" s="61" t="s">
        <v>133</v>
      </c>
      <c r="C13" s="65" t="s">
        <v>6</v>
      </c>
      <c r="D13" s="66">
        <f aca="true" t="shared" si="0" ref="D13:D20">E13*$D$2*12</f>
        <v>4687.992028687811</v>
      </c>
      <c r="E13" s="67">
        <v>0.130500401653745</v>
      </c>
      <c r="F13" s="59"/>
    </row>
    <row r="14" spans="1:6" s="60" customFormat="1" ht="15">
      <c r="A14" s="63">
        <v>6</v>
      </c>
      <c r="B14" s="61" t="s">
        <v>8</v>
      </c>
      <c r="C14" s="65" t="s">
        <v>6</v>
      </c>
      <c r="D14" s="66">
        <f t="shared" si="0"/>
        <v>2226.245979820521</v>
      </c>
      <c r="E14" s="67">
        <v>0.0619723738369778</v>
      </c>
      <c r="F14" s="59"/>
    </row>
    <row r="15" spans="1:6" s="60" customFormat="1" ht="30">
      <c r="A15" s="63">
        <v>7</v>
      </c>
      <c r="B15" s="61" t="s">
        <v>134</v>
      </c>
      <c r="C15" s="64" t="s">
        <v>135</v>
      </c>
      <c r="D15" s="66">
        <f t="shared" si="0"/>
        <v>5699.421806964233</v>
      </c>
      <c r="E15" s="66">
        <v>0.15865573799005192</v>
      </c>
      <c r="F15" s="59"/>
    </row>
    <row r="16" spans="1:6" s="60" customFormat="1" ht="60">
      <c r="A16" s="63">
        <v>8</v>
      </c>
      <c r="B16" s="65" t="s">
        <v>136</v>
      </c>
      <c r="C16" s="65" t="s">
        <v>137</v>
      </c>
      <c r="D16" s="66">
        <f t="shared" si="0"/>
        <v>30396.916303809237</v>
      </c>
      <c r="E16" s="66">
        <v>0.8461639359469434</v>
      </c>
      <c r="F16" s="59"/>
    </row>
    <row r="17" spans="1:6" s="60" customFormat="1" ht="15">
      <c r="A17" s="63">
        <v>9</v>
      </c>
      <c r="B17" s="64" t="s">
        <v>138</v>
      </c>
      <c r="C17" s="64" t="s">
        <v>130</v>
      </c>
      <c r="D17" s="66">
        <f t="shared" si="0"/>
        <v>329.7787542578011</v>
      </c>
      <c r="E17" s="66">
        <f>0.00865576553310993+0.000524339642871082</f>
        <v>0.009180105175981012</v>
      </c>
      <c r="F17" s="59"/>
    </row>
    <row r="18" spans="1:6" s="60" customFormat="1" ht="15">
      <c r="A18" s="63">
        <v>10</v>
      </c>
      <c r="B18" s="64" t="s">
        <v>9</v>
      </c>
      <c r="C18" s="64" t="s">
        <v>139</v>
      </c>
      <c r="D18" s="66">
        <f t="shared" si="0"/>
        <v>5082.718787291594</v>
      </c>
      <c r="E18" s="67">
        <v>0.141488475060451</v>
      </c>
      <c r="F18" s="59"/>
    </row>
    <row r="19" spans="1:7" s="60" customFormat="1" ht="30">
      <c r="A19" s="63">
        <v>11</v>
      </c>
      <c r="B19" s="64" t="s">
        <v>140</v>
      </c>
      <c r="C19" s="64" t="s">
        <v>130</v>
      </c>
      <c r="D19" s="66">
        <f t="shared" si="0"/>
        <v>12236.349888097102</v>
      </c>
      <c r="E19" s="66">
        <v>0.340625275256578</v>
      </c>
      <c r="F19" s="70"/>
      <c r="G19" s="71"/>
    </row>
    <row r="20" spans="1:7" s="60" customFormat="1" ht="15">
      <c r="A20" s="63">
        <v>12</v>
      </c>
      <c r="B20" s="64" t="s">
        <v>10</v>
      </c>
      <c r="C20" s="64" t="s">
        <v>7</v>
      </c>
      <c r="D20" s="66">
        <f t="shared" si="0"/>
        <v>214.76049296031636</v>
      </c>
      <c r="E20" s="66">
        <v>0.00597832300464091</v>
      </c>
      <c r="F20" s="70"/>
      <c r="G20" s="71"/>
    </row>
    <row r="21" spans="1:7" ht="15">
      <c r="A21" s="90" t="s">
        <v>156</v>
      </c>
      <c r="B21" s="91"/>
      <c r="C21" s="92"/>
      <c r="D21" s="17">
        <f>SUM(D22:D23)</f>
        <v>27957.1759091429</v>
      </c>
      <c r="E21" s="17">
        <f>SUM(E22:E23)</f>
        <v>0.7782484831290893</v>
      </c>
      <c r="F21" s="20"/>
      <c r="G21" s="19"/>
    </row>
    <row r="22" spans="1:7" ht="15.75" customHeight="1">
      <c r="A22" s="12">
        <v>13</v>
      </c>
      <c r="B22" s="7" t="s">
        <v>11</v>
      </c>
      <c r="C22" s="14" t="s">
        <v>12</v>
      </c>
      <c r="D22" s="15">
        <f>E22*$D$2*12</f>
        <v>25578.386010194787</v>
      </c>
      <c r="E22" s="21">
        <v>0.712029719239789</v>
      </c>
      <c r="F22" s="18"/>
      <c r="G22" s="19"/>
    </row>
    <row r="23" spans="1:7" ht="30">
      <c r="A23" s="12">
        <v>14</v>
      </c>
      <c r="B23" s="13" t="s">
        <v>13</v>
      </c>
      <c r="C23" s="13" t="s">
        <v>14</v>
      </c>
      <c r="D23" s="15">
        <f>E23*$D$2*12</f>
        <v>2378.789898948116</v>
      </c>
      <c r="E23" s="21">
        <v>0.0662187638893004</v>
      </c>
      <c r="F23" s="18"/>
      <c r="G23" s="19"/>
    </row>
    <row r="24" spans="1:7" ht="29.25" customHeight="1">
      <c r="A24" s="90" t="s">
        <v>157</v>
      </c>
      <c r="B24" s="93"/>
      <c r="C24" s="94"/>
      <c r="D24" s="22">
        <f>SUM(D25:D28)</f>
        <v>38574.05118344912</v>
      </c>
      <c r="E24" s="22">
        <f>SUM(E25:E28)</f>
        <v>1.0737921784097497</v>
      </c>
      <c r="F24" s="18"/>
      <c r="G24" s="19"/>
    </row>
    <row r="25" spans="1:7" ht="29.25" customHeight="1">
      <c r="A25" s="63">
        <v>15</v>
      </c>
      <c r="B25" s="64" t="s">
        <v>15</v>
      </c>
      <c r="C25" s="64" t="s">
        <v>7</v>
      </c>
      <c r="D25" s="15">
        <f>E25*12*$D$2</f>
        <v>643.5031356988529</v>
      </c>
      <c r="E25" s="15">
        <v>0.01791330214732688</v>
      </c>
      <c r="F25" s="18"/>
      <c r="G25" s="19"/>
    </row>
    <row r="26" spans="1:7" ht="29.25" customHeight="1">
      <c r="A26" s="63">
        <v>16</v>
      </c>
      <c r="B26" s="64" t="s">
        <v>16</v>
      </c>
      <c r="C26" s="64" t="s">
        <v>7</v>
      </c>
      <c r="D26" s="15">
        <f>E26*12*$D$2</f>
        <v>3483.2108826290005</v>
      </c>
      <c r="E26" s="15">
        <v>0.09696271163562825</v>
      </c>
      <c r="F26" s="18"/>
      <c r="G26" s="19"/>
    </row>
    <row r="27" spans="1:7" ht="29.25" customHeight="1">
      <c r="A27" s="63">
        <v>17</v>
      </c>
      <c r="B27" s="64" t="s">
        <v>141</v>
      </c>
      <c r="C27" s="64" t="s">
        <v>7</v>
      </c>
      <c r="D27" s="15">
        <f>E27*12*$D$2</f>
        <v>1555.4087806275027</v>
      </c>
      <c r="E27" s="15">
        <v>0.043298168888837925</v>
      </c>
      <c r="F27" s="18"/>
      <c r="G27" s="19"/>
    </row>
    <row r="28" spans="1:6" ht="91.5" customHeight="1">
      <c r="A28" s="63">
        <v>18</v>
      </c>
      <c r="B28" s="64" t="s">
        <v>17</v>
      </c>
      <c r="C28" s="64" t="s">
        <v>7</v>
      </c>
      <c r="D28" s="15">
        <f>E28*12*$D$2</f>
        <v>32891.92838449376</v>
      </c>
      <c r="E28" s="15">
        <v>0.9156179957379565</v>
      </c>
      <c r="F28" s="2"/>
    </row>
    <row r="29" spans="1:9" ht="15">
      <c r="A29" s="95" t="s">
        <v>142</v>
      </c>
      <c r="B29" s="96"/>
      <c r="C29" s="96"/>
      <c r="D29" s="11">
        <f>SUM(D30:D31)</f>
        <v>54010.41017580195</v>
      </c>
      <c r="E29" s="11">
        <f>SUM(E30:E31)</f>
        <v>1.5034966310295839</v>
      </c>
      <c r="F29" s="2"/>
      <c r="G29" s="51"/>
      <c r="H29" s="51"/>
      <c r="I29" s="52"/>
    </row>
    <row r="30" spans="1:9" ht="74.25" customHeight="1">
      <c r="A30" s="12">
        <v>19</v>
      </c>
      <c r="B30" s="64" t="s">
        <v>18</v>
      </c>
      <c r="C30" s="64" t="s">
        <v>7</v>
      </c>
      <c r="D30" s="15">
        <f>E30*12*$D$2</f>
        <v>2729.1296263019676</v>
      </c>
      <c r="E30" s="15">
        <f>0.00834864741936929+0.0676225808203746</f>
        <v>0.0759712282397439</v>
      </c>
      <c r="F30" s="2"/>
      <c r="G30" s="51"/>
      <c r="H30" s="51"/>
      <c r="I30" s="52"/>
    </row>
    <row r="31" spans="1:9" ht="104.25" customHeight="1">
      <c r="A31" s="12">
        <v>20</v>
      </c>
      <c r="B31" s="64" t="s">
        <v>19</v>
      </c>
      <c r="C31" s="64" t="s">
        <v>20</v>
      </c>
      <c r="D31" s="15">
        <f>E31*12*$D$2</f>
        <v>51281.280549499985</v>
      </c>
      <c r="E31" s="21">
        <f>1.31500228818984+0.1125231146</f>
        <v>1.42752540278984</v>
      </c>
      <c r="F31" s="2"/>
      <c r="G31" s="54"/>
      <c r="H31" s="54"/>
      <c r="I31" s="54"/>
    </row>
    <row r="32" spans="1:9" ht="15">
      <c r="A32" s="95" t="s">
        <v>143</v>
      </c>
      <c r="B32" s="95"/>
      <c r="C32" s="95"/>
      <c r="D32" s="23">
        <f>SUM(D33)</f>
        <v>11765.879999999988</v>
      </c>
      <c r="E32" s="22">
        <f>SUM(E33)</f>
        <v>0.327528727952966</v>
      </c>
      <c r="F32" s="2"/>
      <c r="G32" s="54"/>
      <c r="H32" s="54"/>
      <c r="I32" s="54"/>
    </row>
    <row r="33" spans="1:6" ht="15">
      <c r="A33" s="12">
        <v>21</v>
      </c>
      <c r="B33" s="13" t="s">
        <v>21</v>
      </c>
      <c r="C33" s="13" t="s">
        <v>22</v>
      </c>
      <c r="D33" s="15">
        <f>E33*12*$D$2</f>
        <v>11765.879999999988</v>
      </c>
      <c r="E33" s="21">
        <v>0.327528727952966</v>
      </c>
      <c r="F33" s="2"/>
    </row>
    <row r="34" spans="1:6" ht="15">
      <c r="A34" s="100" t="s">
        <v>144</v>
      </c>
      <c r="B34" s="100"/>
      <c r="C34" s="100"/>
      <c r="D34" s="73">
        <f>SUM(D35:D37)</f>
        <v>3671.5111897545403</v>
      </c>
      <c r="E34" s="73">
        <f>SUM(E35:E37)</f>
        <v>0.102204458114938</v>
      </c>
      <c r="F34" s="2"/>
    </row>
    <row r="35" spans="1:6" ht="30">
      <c r="A35" s="63">
        <v>22</v>
      </c>
      <c r="B35" s="64" t="s">
        <v>23</v>
      </c>
      <c r="C35" s="64" t="s">
        <v>14</v>
      </c>
      <c r="D35" s="15">
        <f>E35*12*$D$2</f>
        <v>2012.2013870961482</v>
      </c>
      <c r="E35" s="72">
        <v>0.0560139794644171</v>
      </c>
      <c r="F35" s="2"/>
    </row>
    <row r="36" spans="1:6" ht="44.25" customHeight="1">
      <c r="A36" s="63">
        <v>23</v>
      </c>
      <c r="B36" s="64" t="s">
        <v>145</v>
      </c>
      <c r="C36" s="64" t="s">
        <v>146</v>
      </c>
      <c r="D36" s="15">
        <f>E36*12*$D$2</f>
        <v>359.23199999999997</v>
      </c>
      <c r="E36" s="66">
        <v>0.01</v>
      </c>
      <c r="F36" s="2"/>
    </row>
    <row r="37" spans="1:6" ht="15">
      <c r="A37" s="63">
        <v>24</v>
      </c>
      <c r="B37" s="64" t="s">
        <v>147</v>
      </c>
      <c r="C37" s="64" t="s">
        <v>7</v>
      </c>
      <c r="D37" s="15">
        <f>E37*12*$D$2</f>
        <v>1300.0778026583923</v>
      </c>
      <c r="E37" s="72">
        <v>0.0361904786505209</v>
      </c>
      <c r="F37" s="2"/>
    </row>
    <row r="38" spans="1:6" ht="15">
      <c r="A38" s="8"/>
      <c r="B38" s="24" t="s">
        <v>24</v>
      </c>
      <c r="C38" s="24"/>
      <c r="D38" s="25">
        <f>D7+D12+D21+D24+D29+D32+D34</f>
        <v>222932.1887195393</v>
      </c>
      <c r="E38" s="17">
        <f>E7+E12+E21+E24+E29+E32+E34</f>
        <v>6.205799837418141</v>
      </c>
      <c r="F38" s="5"/>
    </row>
    <row r="39" spans="1:6" ht="4.5" customHeight="1">
      <c r="A39" s="26"/>
      <c r="B39" s="27"/>
      <c r="C39" s="28"/>
      <c r="D39" s="29"/>
      <c r="E39" s="30"/>
      <c r="F39" s="2"/>
    </row>
    <row r="40" spans="1:6" ht="5.25" customHeight="1">
      <c r="A40" s="26"/>
      <c r="B40" s="27"/>
      <c r="C40" s="28"/>
      <c r="D40" s="29"/>
      <c r="E40" s="30"/>
      <c r="F40" s="2"/>
    </row>
    <row r="41" spans="1:6" ht="105">
      <c r="A41" s="10" t="s">
        <v>25</v>
      </c>
      <c r="B41" s="10" t="s">
        <v>26</v>
      </c>
      <c r="C41" s="10" t="s">
        <v>27</v>
      </c>
      <c r="D41" s="10" t="s">
        <v>28</v>
      </c>
      <c r="E41" s="10" t="s">
        <v>29</v>
      </c>
      <c r="F41" s="10" t="s">
        <v>30</v>
      </c>
    </row>
    <row r="42" spans="1:6" ht="15">
      <c r="A42" s="10">
        <v>1</v>
      </c>
      <c r="B42" s="7" t="s">
        <v>158</v>
      </c>
      <c r="C42" s="10" t="s">
        <v>160</v>
      </c>
      <c r="D42" s="10">
        <v>33750</v>
      </c>
      <c r="E42" s="33">
        <f>D42/12/$D$2</f>
        <v>0.9395042757883485</v>
      </c>
      <c r="F42" s="34">
        <v>2</v>
      </c>
    </row>
    <row r="43" spans="1:6" ht="15">
      <c r="A43" s="10">
        <v>2</v>
      </c>
      <c r="B43" s="7" t="s">
        <v>159</v>
      </c>
      <c r="C43" s="10" t="s">
        <v>160</v>
      </c>
      <c r="D43" s="10">
        <v>32550</v>
      </c>
      <c r="E43" s="33">
        <f>D43/12/$D$2</f>
        <v>0.9060996793158739</v>
      </c>
      <c r="F43" s="34">
        <v>2</v>
      </c>
    </row>
    <row r="44" spans="1:6" ht="15">
      <c r="A44" s="10"/>
      <c r="B44" s="36" t="s">
        <v>31</v>
      </c>
      <c r="C44" s="9"/>
      <c r="D44" s="37">
        <f>SUM(D42:D43)</f>
        <v>66300</v>
      </c>
      <c r="E44" s="38">
        <f>SUM(E42:E43)</f>
        <v>1.8456039551042225</v>
      </c>
      <c r="F44" s="39"/>
    </row>
    <row r="45" spans="1:6" ht="7.5" customHeight="1">
      <c r="A45" s="26"/>
      <c r="B45" s="27"/>
      <c r="C45" s="40"/>
      <c r="D45" s="40"/>
      <c r="E45" s="40"/>
      <c r="F45" s="40"/>
    </row>
    <row r="46" spans="1:6" ht="29.25">
      <c r="A46" s="26"/>
      <c r="B46" s="27" t="s">
        <v>32</v>
      </c>
      <c r="C46" s="41">
        <f>D38+D44</f>
        <v>289232.1887195393</v>
      </c>
      <c r="D46" s="41"/>
      <c r="E46" s="41"/>
      <c r="F46" s="40"/>
    </row>
    <row r="47" spans="1:6" ht="15">
      <c r="A47" s="26"/>
      <c r="B47" s="27" t="s">
        <v>33</v>
      </c>
      <c r="C47" s="42">
        <f>E38+E44</f>
        <v>8.051403792522363</v>
      </c>
      <c r="D47" s="40"/>
      <c r="E47" s="40"/>
      <c r="F47" s="40"/>
    </row>
    <row r="48" spans="1:6" ht="7.5" customHeight="1">
      <c r="A48" s="26"/>
      <c r="B48" s="27"/>
      <c r="C48" s="42"/>
      <c r="D48" s="40"/>
      <c r="E48" s="40"/>
      <c r="F48" s="40"/>
    </row>
    <row r="49" spans="1:6" ht="30.75" customHeight="1">
      <c r="A49" s="88" t="s">
        <v>111</v>
      </c>
      <c r="B49" s="88"/>
      <c r="C49" s="88"/>
      <c r="D49" s="88"/>
      <c r="E49" s="88"/>
      <c r="F49" s="88"/>
    </row>
    <row r="50" spans="1:6" ht="6" customHeight="1">
      <c r="A50" s="1"/>
      <c r="B50" s="1"/>
      <c r="C50" s="1"/>
      <c r="D50" s="2"/>
      <c r="E50" s="2"/>
      <c r="F50" s="2"/>
    </row>
    <row r="51" spans="1:6" ht="85.5">
      <c r="A51" s="7"/>
      <c r="B51" s="8" t="s">
        <v>1</v>
      </c>
      <c r="C51" s="8" t="s">
        <v>2</v>
      </c>
      <c r="D51" s="8" t="s">
        <v>3</v>
      </c>
      <c r="E51" s="8" t="s">
        <v>4</v>
      </c>
      <c r="F51" s="2"/>
    </row>
    <row r="52" spans="1:5" ht="30" customHeight="1">
      <c r="A52" s="89" t="s">
        <v>123</v>
      </c>
      <c r="B52" s="89"/>
      <c r="C52" s="89"/>
      <c r="D52" s="17">
        <f>SUM(D53:D54)</f>
        <v>19144.399905061517</v>
      </c>
      <c r="E52" s="17">
        <f>SUM(E53:E54)</f>
        <v>0.532925794613551</v>
      </c>
    </row>
    <row r="53" spans="1:5" ht="30" customHeight="1">
      <c r="A53" s="63" t="s">
        <v>5</v>
      </c>
      <c r="B53" s="74" t="s">
        <v>126</v>
      </c>
      <c r="C53" s="74" t="s">
        <v>149</v>
      </c>
      <c r="D53" s="15">
        <f>E53*12*$D$2</f>
        <v>18785.167905061517</v>
      </c>
      <c r="E53" s="75">
        <f>3*E8/2</f>
        <v>0.522925794613551</v>
      </c>
    </row>
    <row r="54" spans="1:5" ht="30">
      <c r="A54" s="63" t="s">
        <v>34</v>
      </c>
      <c r="B54" s="43" t="s">
        <v>35</v>
      </c>
      <c r="C54" s="43" t="s">
        <v>42</v>
      </c>
      <c r="D54" s="15">
        <f>E54*12*$D$2</f>
        <v>359.23199999999997</v>
      </c>
      <c r="E54" s="44">
        <v>0.01</v>
      </c>
    </row>
    <row r="55" spans="1:5" ht="30" customHeight="1">
      <c r="A55" s="89" t="s">
        <v>102</v>
      </c>
      <c r="B55" s="89"/>
      <c r="C55" s="89"/>
      <c r="D55" s="17">
        <f>SUM(D56:D58)</f>
        <v>14471.531586636167</v>
      </c>
      <c r="E55" s="17">
        <f>SUM(E56:E58)</f>
        <v>0.4028463941585429</v>
      </c>
    </row>
    <row r="56" spans="1:5" ht="30" customHeight="1">
      <c r="A56" s="63" t="s">
        <v>151</v>
      </c>
      <c r="B56" s="74" t="s">
        <v>152</v>
      </c>
      <c r="C56" s="74" t="s">
        <v>153</v>
      </c>
      <c r="D56" s="15">
        <f>E56*$D$2*12</f>
        <v>718.4639999999999</v>
      </c>
      <c r="E56" s="75">
        <v>0.02</v>
      </c>
    </row>
    <row r="57" spans="1:5" ht="30" customHeight="1">
      <c r="A57" s="63" t="s">
        <v>154</v>
      </c>
      <c r="B57" s="76" t="s">
        <v>133</v>
      </c>
      <c r="C57" s="76" t="s">
        <v>155</v>
      </c>
      <c r="D57" s="15">
        <f>E57*$D$2*12</f>
        <v>11719.98007171953</v>
      </c>
      <c r="E57" s="75">
        <f>5*E13/2</f>
        <v>0.3262510041343625</v>
      </c>
    </row>
    <row r="58" spans="1:5" ht="30">
      <c r="A58" s="63" t="s">
        <v>128</v>
      </c>
      <c r="B58" s="77" t="s">
        <v>9</v>
      </c>
      <c r="C58" s="61" t="s">
        <v>150</v>
      </c>
      <c r="D58" s="15">
        <f>E58*$D$2*12</f>
        <v>2033.0875149166372</v>
      </c>
      <c r="E58" s="67">
        <f>2*E18/5</f>
        <v>0.0565953900241804</v>
      </c>
    </row>
    <row r="59" spans="1:6" ht="15">
      <c r="A59" s="8"/>
      <c r="B59" s="24" t="s">
        <v>24</v>
      </c>
      <c r="C59" s="24"/>
      <c r="D59" s="25">
        <f>D52+D55</f>
        <v>33615.93149169769</v>
      </c>
      <c r="E59" s="17">
        <f>E52+E55</f>
        <v>0.935772188772094</v>
      </c>
      <c r="F59" s="5"/>
    </row>
    <row r="60" spans="1:6" ht="5.25" customHeight="1">
      <c r="A60" s="2"/>
      <c r="B60" s="2"/>
      <c r="C60" s="2"/>
      <c r="D60" s="2"/>
      <c r="E60" s="2"/>
      <c r="F60" s="2"/>
    </row>
    <row r="61" spans="1:6" ht="7.5" customHeight="1">
      <c r="A61" s="31"/>
      <c r="B61" s="31"/>
      <c r="C61" s="31"/>
      <c r="D61" s="31"/>
      <c r="E61" s="31"/>
      <c r="F61" s="32"/>
    </row>
    <row r="62" spans="1:6" ht="105">
      <c r="A62" s="10" t="s">
        <v>25</v>
      </c>
      <c r="B62" s="10" t="s">
        <v>26</v>
      </c>
      <c r="C62" s="10" t="s">
        <v>27</v>
      </c>
      <c r="D62" s="10" t="s">
        <v>28</v>
      </c>
      <c r="E62" s="10" t="s">
        <v>36</v>
      </c>
      <c r="F62" s="10" t="s">
        <v>30</v>
      </c>
    </row>
    <row r="63" spans="1:6" ht="15">
      <c r="A63" s="10">
        <v>1</v>
      </c>
      <c r="B63" s="7" t="s">
        <v>110</v>
      </c>
      <c r="C63" s="10" t="s">
        <v>148</v>
      </c>
      <c r="D63" s="10">
        <v>20120</v>
      </c>
      <c r="E63" s="46">
        <f>D63/12/$D$2</f>
        <v>0.560083734188491</v>
      </c>
      <c r="F63" s="34">
        <v>2</v>
      </c>
    </row>
    <row r="64" spans="1:6" ht="15">
      <c r="A64" s="10">
        <v>2</v>
      </c>
      <c r="B64" s="7" t="s">
        <v>158</v>
      </c>
      <c r="C64" s="10" t="s">
        <v>160</v>
      </c>
      <c r="D64" s="10">
        <v>27000</v>
      </c>
      <c r="E64" s="46">
        <f>D64/12/$D$2</f>
        <v>0.7516034206306788</v>
      </c>
      <c r="F64" s="34">
        <v>2</v>
      </c>
    </row>
    <row r="65" spans="1:6" ht="15">
      <c r="A65" s="10">
        <v>3</v>
      </c>
      <c r="B65" s="7" t="s">
        <v>159</v>
      </c>
      <c r="C65" s="10" t="s">
        <v>160</v>
      </c>
      <c r="D65" s="10">
        <v>26040</v>
      </c>
      <c r="E65" s="46">
        <f>D65/12/$D$2</f>
        <v>0.7248797434526991</v>
      </c>
      <c r="F65" s="34">
        <v>2</v>
      </c>
    </row>
    <row r="66" spans="1:6" ht="15">
      <c r="A66" s="47"/>
      <c r="B66" s="47" t="s">
        <v>31</v>
      </c>
      <c r="C66" s="47"/>
      <c r="D66" s="48">
        <f>SUM(D63:D65)</f>
        <v>73160</v>
      </c>
      <c r="E66" s="49">
        <f>SUM(E63:E65)</f>
        <v>2.036566898271869</v>
      </c>
      <c r="F66" s="47"/>
    </row>
    <row r="69" spans="1:6" ht="20.25" customHeight="1">
      <c r="A69" s="2"/>
      <c r="B69" s="1" t="s">
        <v>161</v>
      </c>
      <c r="C69" s="4"/>
      <c r="D69" s="50">
        <v>3302.5</v>
      </c>
      <c r="E69" s="5" t="s">
        <v>0</v>
      </c>
      <c r="F69" s="2"/>
    </row>
    <row r="70" spans="1:6" ht="6" customHeight="1">
      <c r="A70" s="2"/>
      <c r="B70" s="6"/>
      <c r="C70" s="2"/>
      <c r="D70" s="2"/>
      <c r="E70" s="2"/>
      <c r="F70" s="2"/>
    </row>
    <row r="71" spans="1:6" ht="32.25" customHeight="1">
      <c r="A71" s="88" t="s">
        <v>109</v>
      </c>
      <c r="B71" s="88"/>
      <c r="C71" s="88"/>
      <c r="D71" s="88"/>
      <c r="E71" s="88"/>
      <c r="F71" s="2"/>
    </row>
    <row r="72" spans="1:6" ht="15">
      <c r="A72" s="1"/>
      <c r="B72" s="1"/>
      <c r="C72" s="1"/>
      <c r="D72" s="1"/>
      <c r="E72" s="1"/>
      <c r="F72" s="2"/>
    </row>
    <row r="73" spans="1:6" ht="85.5">
      <c r="A73" s="7"/>
      <c r="B73" s="8" t="s">
        <v>1</v>
      </c>
      <c r="C73" s="8" t="s">
        <v>2</v>
      </c>
      <c r="D73" s="8" t="s">
        <v>3</v>
      </c>
      <c r="E73" s="8" t="s">
        <v>4</v>
      </c>
      <c r="F73" s="2"/>
    </row>
    <row r="74" spans="1:6" s="60" customFormat="1" ht="15">
      <c r="A74" s="100" t="s">
        <v>125</v>
      </c>
      <c r="B74" s="101"/>
      <c r="C74" s="101"/>
      <c r="D74" s="62">
        <f>SUM(D75:D78)</f>
        <v>28683.577333134563</v>
      </c>
      <c r="E74" s="62">
        <f>SUM(E75:E78)</f>
        <v>0.723784439392747</v>
      </c>
      <c r="F74" s="59"/>
    </row>
    <row r="75" spans="1:6" s="60" customFormat="1" ht="30">
      <c r="A75" s="63">
        <v>1</v>
      </c>
      <c r="B75" s="64" t="s">
        <v>126</v>
      </c>
      <c r="C75" s="65" t="s">
        <v>6</v>
      </c>
      <c r="D75" s="66">
        <f>E75*$D$69*12</f>
        <v>13815.69949369002</v>
      </c>
      <c r="E75" s="67">
        <v>0.348617196409034</v>
      </c>
      <c r="F75" s="59"/>
    </row>
    <row r="76" spans="1:6" s="60" customFormat="1" ht="15">
      <c r="A76" s="63">
        <v>2</v>
      </c>
      <c r="B76" s="64" t="s">
        <v>129</v>
      </c>
      <c r="C76" s="64" t="s">
        <v>127</v>
      </c>
      <c r="D76" s="66">
        <f>E76*$D$69*12</f>
        <v>13815.69949369002</v>
      </c>
      <c r="E76" s="67">
        <v>0.348617196409034</v>
      </c>
      <c r="F76" s="59"/>
    </row>
    <row r="77" spans="1:6" s="60" customFormat="1" ht="30">
      <c r="A77" s="63">
        <v>3</v>
      </c>
      <c r="B77" s="64" t="s">
        <v>131</v>
      </c>
      <c r="C77" s="64" t="s">
        <v>130</v>
      </c>
      <c r="D77" s="66">
        <f>E77*$D$69*12</f>
        <v>603.673880277523</v>
      </c>
      <c r="E77" s="67">
        <f>0.00177239235938463+0.0134603575845347</f>
        <v>0.015232749943919328</v>
      </c>
      <c r="F77" s="59"/>
    </row>
    <row r="78" spans="1:6" s="60" customFormat="1" ht="15">
      <c r="A78" s="63">
        <v>4</v>
      </c>
      <c r="B78" s="64" t="s">
        <v>132</v>
      </c>
      <c r="C78" s="64" t="s">
        <v>7</v>
      </c>
      <c r="D78" s="66">
        <f>E78*$D$69*12</f>
        <v>448.50446547700295</v>
      </c>
      <c r="E78" s="67">
        <v>0.0113172966307596</v>
      </c>
      <c r="F78" s="59"/>
    </row>
    <row r="79" spans="1:6" s="60" customFormat="1" ht="30.75" customHeight="1">
      <c r="A79" s="89" t="s">
        <v>102</v>
      </c>
      <c r="B79" s="89"/>
      <c r="C79" s="89"/>
      <c r="D79" s="68">
        <f>SUM(D80:D87)</f>
        <v>67053.99709615872</v>
      </c>
      <c r="E79" s="68">
        <f>SUM(E80:E87)</f>
        <v>1.6920009360625472</v>
      </c>
      <c r="F79" s="69"/>
    </row>
    <row r="80" spans="1:6" s="60" customFormat="1" ht="30">
      <c r="A80" s="63">
        <v>5</v>
      </c>
      <c r="B80" s="61" t="s">
        <v>133</v>
      </c>
      <c r="C80" s="65" t="s">
        <v>6</v>
      </c>
      <c r="D80" s="66">
        <f aca="true" t="shared" si="1" ref="D80:D87">E80*$D$69*12</f>
        <v>5260.235187119158</v>
      </c>
      <c r="E80" s="67">
        <v>0.132733666089305</v>
      </c>
      <c r="F80" s="59"/>
    </row>
    <row r="81" spans="1:6" s="60" customFormat="1" ht="15">
      <c r="A81" s="63">
        <v>6</v>
      </c>
      <c r="B81" s="61" t="s">
        <v>8</v>
      </c>
      <c r="C81" s="65" t="s">
        <v>6</v>
      </c>
      <c r="D81" s="66">
        <f t="shared" si="1"/>
        <v>2226.2459798205196</v>
      </c>
      <c r="E81" s="67">
        <v>0.0561757754181307</v>
      </c>
      <c r="F81" s="59"/>
    </row>
    <row r="82" spans="1:6" s="60" customFormat="1" ht="30">
      <c r="A82" s="63">
        <v>7</v>
      </c>
      <c r="B82" s="61" t="s">
        <v>134</v>
      </c>
      <c r="C82" s="64" t="s">
        <v>135</v>
      </c>
      <c r="D82" s="66">
        <f t="shared" si="1"/>
        <v>6365.704924997965</v>
      </c>
      <c r="E82" s="66">
        <v>0.1606284361594238</v>
      </c>
      <c r="F82" s="59"/>
    </row>
    <row r="83" spans="1:6" s="60" customFormat="1" ht="60">
      <c r="A83" s="63">
        <v>8</v>
      </c>
      <c r="B83" s="65" t="s">
        <v>136</v>
      </c>
      <c r="C83" s="65" t="s">
        <v>137</v>
      </c>
      <c r="D83" s="66">
        <f t="shared" si="1"/>
        <v>33950.426266655806</v>
      </c>
      <c r="E83" s="66">
        <v>0.8566849928502601</v>
      </c>
      <c r="F83" s="59"/>
    </row>
    <row r="84" spans="1:6" s="60" customFormat="1" ht="15">
      <c r="A84" s="63">
        <v>9</v>
      </c>
      <c r="B84" s="64" t="s">
        <v>138</v>
      </c>
      <c r="C84" s="64" t="s">
        <v>130</v>
      </c>
      <c r="D84" s="66">
        <f t="shared" si="1"/>
        <v>329.7228582429872</v>
      </c>
      <c r="E84" s="66">
        <v>0.00832003174975996</v>
      </c>
      <c r="F84" s="59"/>
    </row>
    <row r="85" spans="1:6" s="60" customFormat="1" ht="15">
      <c r="A85" s="63">
        <v>10</v>
      </c>
      <c r="B85" s="64" t="s">
        <v>9</v>
      </c>
      <c r="C85" s="64" t="s">
        <v>139</v>
      </c>
      <c r="D85" s="66">
        <f t="shared" si="1"/>
        <v>5081.85728932982</v>
      </c>
      <c r="E85" s="67">
        <v>0.12823258363184</v>
      </c>
      <c r="F85" s="59"/>
    </row>
    <row r="86" spans="1:7" s="60" customFormat="1" ht="30">
      <c r="A86" s="63">
        <v>11</v>
      </c>
      <c r="B86" s="64" t="s">
        <v>140</v>
      </c>
      <c r="C86" s="64" t="s">
        <v>130</v>
      </c>
      <c r="D86" s="66">
        <f t="shared" si="1"/>
        <v>13605.09954349533</v>
      </c>
      <c r="E86" s="66">
        <v>0.343303041723324</v>
      </c>
      <c r="F86" s="70"/>
      <c r="G86" s="71"/>
    </row>
    <row r="87" spans="1:7" s="60" customFormat="1" ht="15">
      <c r="A87" s="63">
        <v>12</v>
      </c>
      <c r="B87" s="64" t="s">
        <v>10</v>
      </c>
      <c r="C87" s="64" t="s">
        <v>7</v>
      </c>
      <c r="D87" s="66">
        <f t="shared" si="1"/>
        <v>234.70504649714695</v>
      </c>
      <c r="E87" s="66">
        <v>0.00592240844050333</v>
      </c>
      <c r="F87" s="70"/>
      <c r="G87" s="71"/>
    </row>
    <row r="88" spans="1:7" ht="15">
      <c r="A88" s="90" t="s">
        <v>156</v>
      </c>
      <c r="B88" s="91"/>
      <c r="C88" s="92"/>
      <c r="D88" s="17">
        <f>SUM(D89:D90)</f>
        <v>31651.156552733664</v>
      </c>
      <c r="E88" s="17">
        <f>SUM(E89:E90)</f>
        <v>0.7986665796803851</v>
      </c>
      <c r="F88" s="20"/>
      <c r="G88" s="19"/>
    </row>
    <row r="89" spans="1:7" ht="15.75" customHeight="1">
      <c r="A89" s="12">
        <v>13</v>
      </c>
      <c r="B89" s="7" t="s">
        <v>11</v>
      </c>
      <c r="C89" s="14" t="s">
        <v>12</v>
      </c>
      <c r="D89" s="66">
        <f>E89*$D$69*12</f>
        <v>28958.057230314425</v>
      </c>
      <c r="E89" s="21">
        <v>0.730710502909776</v>
      </c>
      <c r="F89" s="18"/>
      <c r="G89" s="19"/>
    </row>
    <row r="90" spans="1:7" ht="30">
      <c r="A90" s="12">
        <v>14</v>
      </c>
      <c r="B90" s="13" t="s">
        <v>13</v>
      </c>
      <c r="C90" s="13" t="s">
        <v>14</v>
      </c>
      <c r="D90" s="66">
        <f>E90*$D$69*12</f>
        <v>2693.0993224192384</v>
      </c>
      <c r="E90" s="21">
        <v>0.0679560767706091</v>
      </c>
      <c r="F90" s="18"/>
      <c r="G90" s="19"/>
    </row>
    <row r="91" spans="1:7" ht="29.25" customHeight="1">
      <c r="A91" s="90" t="s">
        <v>157</v>
      </c>
      <c r="B91" s="93"/>
      <c r="C91" s="94"/>
      <c r="D91" s="22">
        <f>SUM(D92:D95)</f>
        <v>42567.63482241827</v>
      </c>
      <c r="E91" s="22">
        <f>SUM(E92:E95)</f>
        <v>1.074126541065311</v>
      </c>
      <c r="F91" s="18"/>
      <c r="G91" s="19"/>
    </row>
    <row r="92" spans="1:7" ht="29.25" customHeight="1">
      <c r="A92" s="63">
        <v>15</v>
      </c>
      <c r="B92" s="64" t="s">
        <v>15</v>
      </c>
      <c r="C92" s="64" t="s">
        <v>7</v>
      </c>
      <c r="D92" s="66">
        <f>E92*$D$69*12</f>
        <v>643.5031356988529</v>
      </c>
      <c r="E92" s="15">
        <v>0.016237777837467902</v>
      </c>
      <c r="F92" s="18"/>
      <c r="G92" s="19"/>
    </row>
    <row r="93" spans="1:7" ht="29.25" customHeight="1">
      <c r="A93" s="63">
        <v>16</v>
      </c>
      <c r="B93" s="64" t="s">
        <v>16</v>
      </c>
      <c r="C93" s="64" t="s">
        <v>7</v>
      </c>
      <c r="D93" s="66">
        <f>E93*$D$69*12</f>
        <v>3937.453773451204</v>
      </c>
      <c r="E93" s="15">
        <v>0.09935538161623024</v>
      </c>
      <c r="F93" s="18"/>
      <c r="G93" s="19"/>
    </row>
    <row r="94" spans="1:7" ht="29.25" customHeight="1">
      <c r="A94" s="63">
        <v>17</v>
      </c>
      <c r="B94" s="64" t="s">
        <v>141</v>
      </c>
      <c r="C94" s="64" t="s">
        <v>7</v>
      </c>
      <c r="D94" s="66">
        <f>E94*$D$69*12</f>
        <v>1555.4087806275024</v>
      </c>
      <c r="E94" s="15">
        <v>0.03924826597596524</v>
      </c>
      <c r="F94" s="18"/>
      <c r="G94" s="19"/>
    </row>
    <row r="95" spans="1:6" ht="91.5" customHeight="1">
      <c r="A95" s="63">
        <v>18</v>
      </c>
      <c r="B95" s="64" t="s">
        <v>17</v>
      </c>
      <c r="C95" s="64" t="s">
        <v>7</v>
      </c>
      <c r="D95" s="66">
        <f>E95*$D$69*12</f>
        <v>36431.269132640715</v>
      </c>
      <c r="E95" s="15">
        <v>0.9192851156356475</v>
      </c>
      <c r="F95" s="2"/>
    </row>
    <row r="96" spans="1:9" ht="15">
      <c r="A96" s="95" t="s">
        <v>142</v>
      </c>
      <c r="B96" s="96"/>
      <c r="C96" s="96"/>
      <c r="D96" s="11">
        <f>SUM(D97:D98)</f>
        <v>59813.32177084832</v>
      </c>
      <c r="E96" s="11">
        <f>SUM(E97:E98)</f>
        <v>1.509294013899781</v>
      </c>
      <c r="F96" s="2"/>
      <c r="G96" s="51"/>
      <c r="H96" s="51"/>
      <c r="I96" s="52"/>
    </row>
    <row r="97" spans="1:9" ht="74.25" customHeight="1">
      <c r="A97" s="12">
        <v>19</v>
      </c>
      <c r="B97" s="64" t="s">
        <v>18</v>
      </c>
      <c r="C97" s="64" t="s">
        <v>7</v>
      </c>
      <c r="D97" s="66">
        <f>E97*$D$69*12</f>
        <v>2994.376068597726</v>
      </c>
      <c r="E97" s="15">
        <f>0.00794739392151343+0.0676109222177176</f>
        <v>0.07555831613923103</v>
      </c>
      <c r="F97" s="2"/>
      <c r="G97" s="51"/>
      <c r="H97" s="51"/>
      <c r="I97" s="52"/>
    </row>
    <row r="98" spans="1:9" ht="104.25" customHeight="1">
      <c r="A98" s="12">
        <v>20</v>
      </c>
      <c r="B98" s="64" t="s">
        <v>19</v>
      </c>
      <c r="C98" s="64" t="s">
        <v>20</v>
      </c>
      <c r="D98" s="66">
        <f>E98*$D$69*12</f>
        <v>56818.945702250596</v>
      </c>
      <c r="E98" s="21">
        <f>1.32121258316055+0.1125231146</f>
        <v>1.43373569776055</v>
      </c>
      <c r="F98" s="2"/>
      <c r="G98" s="54"/>
      <c r="H98" s="54"/>
      <c r="I98" s="54"/>
    </row>
    <row r="99" spans="1:9" ht="15">
      <c r="A99" s="95" t="s">
        <v>143</v>
      </c>
      <c r="B99" s="95"/>
      <c r="C99" s="95"/>
      <c r="D99" s="23">
        <f>SUM(D100)</f>
        <v>11912.039999999992</v>
      </c>
      <c r="E99" s="22">
        <f>SUM(E100)</f>
        <v>0.300581377744133</v>
      </c>
      <c r="F99" s="2"/>
      <c r="G99" s="54"/>
      <c r="H99" s="54"/>
      <c r="I99" s="54"/>
    </row>
    <row r="100" spans="1:6" ht="15">
      <c r="A100" s="12">
        <v>21</v>
      </c>
      <c r="B100" s="13" t="s">
        <v>21</v>
      </c>
      <c r="C100" s="13" t="s">
        <v>22</v>
      </c>
      <c r="D100" s="66">
        <f>E100*$D$69*12</f>
        <v>11912.039999999992</v>
      </c>
      <c r="E100" s="21">
        <v>0.300581377744133</v>
      </c>
      <c r="F100" s="2"/>
    </row>
    <row r="101" spans="1:6" ht="15">
      <c r="A101" s="100" t="s">
        <v>144</v>
      </c>
      <c r="B101" s="100"/>
      <c r="C101" s="100"/>
      <c r="D101" s="73">
        <f>SUM(D102:D104)</f>
        <v>3989.2107562603637</v>
      </c>
      <c r="E101" s="73">
        <f>SUM(E102:E104)</f>
        <v>0.1006613867337967</v>
      </c>
      <c r="F101" s="2"/>
    </row>
    <row r="102" spans="1:6" ht="30">
      <c r="A102" s="63">
        <v>22</v>
      </c>
      <c r="B102" s="64" t="s">
        <v>23</v>
      </c>
      <c r="C102" s="64" t="s">
        <v>14</v>
      </c>
      <c r="D102" s="66">
        <f>E102*$D$69*12</f>
        <v>2231.8588404944912</v>
      </c>
      <c r="E102" s="72">
        <v>0.0563174070273654</v>
      </c>
      <c r="F102" s="2"/>
    </row>
    <row r="103" spans="1:6" ht="44.25" customHeight="1">
      <c r="A103" s="63">
        <v>23</v>
      </c>
      <c r="B103" s="64" t="s">
        <v>145</v>
      </c>
      <c r="C103" s="64" t="s">
        <v>146</v>
      </c>
      <c r="D103" s="66">
        <f>E103*$D$69*12</f>
        <v>396.29999999999995</v>
      </c>
      <c r="E103" s="66">
        <v>0.01</v>
      </c>
      <c r="F103" s="2"/>
    </row>
    <row r="104" spans="1:6" ht="15">
      <c r="A104" s="63">
        <v>24</v>
      </c>
      <c r="B104" s="64" t="s">
        <v>147</v>
      </c>
      <c r="C104" s="64" t="s">
        <v>7</v>
      </c>
      <c r="D104" s="66">
        <f>E104*$D$69*12</f>
        <v>1361.0519157658723</v>
      </c>
      <c r="E104" s="72">
        <v>0.0343439797064313</v>
      </c>
      <c r="F104" s="2"/>
    </row>
    <row r="105" spans="1:6" ht="15">
      <c r="A105" s="8"/>
      <c r="B105" s="24" t="s">
        <v>24</v>
      </c>
      <c r="C105" s="24"/>
      <c r="D105" s="25">
        <f>D74+D79+D88+D91+D96+D99+D101</f>
        <v>245670.93833155392</v>
      </c>
      <c r="E105" s="17">
        <f>E74+E79+E88+E91+E96+E99+E101</f>
        <v>6.199115274578702</v>
      </c>
      <c r="F105" s="5"/>
    </row>
    <row r="106" spans="1:6" ht="90.75" customHeight="1">
      <c r="A106" s="26"/>
      <c r="B106" s="27"/>
      <c r="C106" s="28"/>
      <c r="D106" s="29"/>
      <c r="E106" s="30"/>
      <c r="F106" s="2"/>
    </row>
    <row r="107" spans="1:6" ht="5.25" customHeight="1">
      <c r="A107" s="26"/>
      <c r="B107" s="27"/>
      <c r="C107" s="28"/>
      <c r="D107" s="29"/>
      <c r="E107" s="30"/>
      <c r="F107" s="2"/>
    </row>
    <row r="108" spans="1:6" ht="105">
      <c r="A108" s="10" t="s">
        <v>25</v>
      </c>
      <c r="B108" s="10" t="s">
        <v>26</v>
      </c>
      <c r="C108" s="10" t="s">
        <v>27</v>
      </c>
      <c r="D108" s="10" t="s">
        <v>28</v>
      </c>
      <c r="E108" s="10" t="s">
        <v>29</v>
      </c>
      <c r="F108" s="10" t="s">
        <v>30</v>
      </c>
    </row>
    <row r="109" spans="1:6" ht="15">
      <c r="A109" s="10">
        <v>1</v>
      </c>
      <c r="B109" s="7" t="s">
        <v>158</v>
      </c>
      <c r="C109" s="10" t="s">
        <v>162</v>
      </c>
      <c r="D109" s="10">
        <v>37125</v>
      </c>
      <c r="E109" s="33">
        <f>D109/12/$D$69</f>
        <v>0.9367903103709311</v>
      </c>
      <c r="F109" s="34">
        <v>2</v>
      </c>
    </row>
    <row r="110" spans="1:6" ht="15">
      <c r="A110" s="10">
        <v>2</v>
      </c>
      <c r="B110" s="7" t="s">
        <v>159</v>
      </c>
      <c r="C110" s="10" t="s">
        <v>162</v>
      </c>
      <c r="D110" s="10">
        <v>35805</v>
      </c>
      <c r="E110" s="33">
        <f>D110/12/$D$69</f>
        <v>0.9034822104466314</v>
      </c>
      <c r="F110" s="34">
        <v>2</v>
      </c>
    </row>
    <row r="111" spans="1:6" ht="15">
      <c r="A111" s="10"/>
      <c r="B111" s="36" t="s">
        <v>31</v>
      </c>
      <c r="C111" s="9"/>
      <c r="D111" s="37">
        <f>SUM(D109:D110)</f>
        <v>72930</v>
      </c>
      <c r="E111" s="38">
        <f>SUM(E109:E110)</f>
        <v>1.8402725208175625</v>
      </c>
      <c r="F111" s="39"/>
    </row>
    <row r="112" spans="1:6" ht="3.75" customHeight="1">
      <c r="A112" s="26"/>
      <c r="B112" s="27"/>
      <c r="C112" s="40"/>
      <c r="D112" s="40"/>
      <c r="E112" s="40"/>
      <c r="F112" s="40"/>
    </row>
    <row r="113" spans="1:6" ht="29.25">
      <c r="A113" s="26"/>
      <c r="B113" s="27" t="s">
        <v>32</v>
      </c>
      <c r="C113" s="41">
        <f>D105+D111</f>
        <v>318600.93833155395</v>
      </c>
      <c r="D113" s="41"/>
      <c r="E113" s="41"/>
      <c r="F113" s="40"/>
    </row>
    <row r="114" spans="1:6" ht="15">
      <c r="A114" s="26"/>
      <c r="B114" s="27" t="s">
        <v>33</v>
      </c>
      <c r="C114" s="42">
        <f>E105+E111</f>
        <v>8.039387795396264</v>
      </c>
      <c r="D114" s="40"/>
      <c r="E114" s="40"/>
      <c r="F114" s="40"/>
    </row>
    <row r="115" spans="1:6" ht="7.5" customHeight="1">
      <c r="A115" s="26"/>
      <c r="B115" s="27"/>
      <c r="C115" s="42"/>
      <c r="D115" s="40"/>
      <c r="E115" s="40"/>
      <c r="F115" s="40"/>
    </row>
    <row r="116" spans="1:6" ht="30.75" customHeight="1">
      <c r="A116" s="88" t="s">
        <v>111</v>
      </c>
      <c r="B116" s="88"/>
      <c r="C116" s="88"/>
      <c r="D116" s="88"/>
      <c r="E116" s="88"/>
      <c r="F116" s="88"/>
    </row>
    <row r="117" spans="1:6" ht="3" customHeight="1">
      <c r="A117" s="1"/>
      <c r="B117" s="1"/>
      <c r="C117" s="1"/>
      <c r="D117" s="2"/>
      <c r="E117" s="2"/>
      <c r="F117" s="2"/>
    </row>
    <row r="118" spans="1:6" ht="85.5">
      <c r="A118" s="7"/>
      <c r="B118" s="8" t="s">
        <v>1</v>
      </c>
      <c r="C118" s="8" t="s">
        <v>2</v>
      </c>
      <c r="D118" s="8" t="s">
        <v>3</v>
      </c>
      <c r="E118" s="8" t="s">
        <v>4</v>
      </c>
      <c r="F118" s="2"/>
    </row>
    <row r="119" spans="1:5" ht="28.5" customHeight="1">
      <c r="A119" s="89" t="s">
        <v>123</v>
      </c>
      <c r="B119" s="89"/>
      <c r="C119" s="89"/>
      <c r="D119" s="17">
        <f>SUM(D120:D121)</f>
        <v>21119.84924053503</v>
      </c>
      <c r="E119" s="17">
        <f>SUM(E120:E121)</f>
        <v>0.532925794613551</v>
      </c>
    </row>
    <row r="120" spans="1:5" ht="30" customHeight="1">
      <c r="A120" s="63" t="s">
        <v>5</v>
      </c>
      <c r="B120" s="74" t="s">
        <v>126</v>
      </c>
      <c r="C120" s="74" t="s">
        <v>149</v>
      </c>
      <c r="D120" s="66">
        <f>E120*$D$69*12</f>
        <v>20723.54924053503</v>
      </c>
      <c r="E120" s="75">
        <f>3*E75/2</f>
        <v>0.522925794613551</v>
      </c>
    </row>
    <row r="121" spans="1:5" ht="30">
      <c r="A121" s="63" t="s">
        <v>34</v>
      </c>
      <c r="B121" s="43" t="s">
        <v>35</v>
      </c>
      <c r="C121" s="43" t="s">
        <v>42</v>
      </c>
      <c r="D121" s="66">
        <f>E121*$D$69*12</f>
        <v>396.29999999999995</v>
      </c>
      <c r="E121" s="44">
        <v>0.01</v>
      </c>
    </row>
    <row r="122" spans="1:5" ht="28.5" customHeight="1">
      <c r="A122" s="89" t="s">
        <v>102</v>
      </c>
      <c r="B122" s="89"/>
      <c r="C122" s="89"/>
      <c r="D122" s="17">
        <f>SUM(D123:D125)</f>
        <v>15975.930883529823</v>
      </c>
      <c r="E122" s="17">
        <f>SUM(E123:E125)</f>
        <v>0.40312719867599855</v>
      </c>
    </row>
    <row r="123" spans="1:5" ht="30" customHeight="1">
      <c r="A123" s="63" t="s">
        <v>151</v>
      </c>
      <c r="B123" s="74" t="s">
        <v>152</v>
      </c>
      <c r="C123" s="74" t="s">
        <v>153</v>
      </c>
      <c r="D123" s="66">
        <f>E123*$D$69*12</f>
        <v>792.5999999999999</v>
      </c>
      <c r="E123" s="75">
        <v>0.02</v>
      </c>
    </row>
    <row r="124" spans="1:5" ht="30" customHeight="1">
      <c r="A124" s="63" t="s">
        <v>154</v>
      </c>
      <c r="B124" s="76" t="s">
        <v>133</v>
      </c>
      <c r="C124" s="76" t="s">
        <v>155</v>
      </c>
      <c r="D124" s="66">
        <f>E124*$D$69*12</f>
        <v>13150.587967797896</v>
      </c>
      <c r="E124" s="75">
        <f>5*E80/2</f>
        <v>0.33183416522326253</v>
      </c>
    </row>
    <row r="125" spans="1:5" ht="30">
      <c r="A125" s="63" t="s">
        <v>128</v>
      </c>
      <c r="B125" s="77" t="s">
        <v>9</v>
      </c>
      <c r="C125" s="61" t="s">
        <v>150</v>
      </c>
      <c r="D125" s="66">
        <f>E125*$D$69*12</f>
        <v>2032.7429157319277</v>
      </c>
      <c r="E125" s="67">
        <f>2*E85/5</f>
        <v>0.051293033452736</v>
      </c>
    </row>
    <row r="126" spans="1:6" ht="15">
      <c r="A126" s="8"/>
      <c r="B126" s="24" t="s">
        <v>24</v>
      </c>
      <c r="C126" s="24"/>
      <c r="D126" s="25">
        <f>D119+D122</f>
        <v>37095.780124064855</v>
      </c>
      <c r="E126" s="17">
        <f>E119+E122</f>
        <v>0.9360529932895496</v>
      </c>
      <c r="F126" s="5"/>
    </row>
    <row r="127" spans="1:6" ht="3" customHeight="1">
      <c r="A127" s="2"/>
      <c r="B127" s="2"/>
      <c r="C127" s="2"/>
      <c r="D127" s="2"/>
      <c r="E127" s="2"/>
      <c r="F127" s="2"/>
    </row>
    <row r="128" spans="1:6" ht="4.5" customHeight="1">
      <c r="A128" s="31"/>
      <c r="B128" s="31"/>
      <c r="C128" s="31"/>
      <c r="D128" s="31"/>
      <c r="E128" s="31"/>
      <c r="F128" s="32"/>
    </row>
    <row r="129" spans="1:6" ht="105">
      <c r="A129" s="10" t="s">
        <v>25</v>
      </c>
      <c r="B129" s="10" t="s">
        <v>26</v>
      </c>
      <c r="C129" s="10" t="s">
        <v>27</v>
      </c>
      <c r="D129" s="10" t="s">
        <v>28</v>
      </c>
      <c r="E129" s="10" t="s">
        <v>36</v>
      </c>
      <c r="F129" s="10" t="s">
        <v>30</v>
      </c>
    </row>
    <row r="130" spans="1:6" ht="15">
      <c r="A130" s="10">
        <v>1</v>
      </c>
      <c r="B130" s="7" t="s">
        <v>110</v>
      </c>
      <c r="C130" s="10" t="s">
        <v>163</v>
      </c>
      <c r="D130" s="10">
        <v>25150</v>
      </c>
      <c r="E130" s="33">
        <f>D130/12/$D$69</f>
        <v>0.6346202371940449</v>
      </c>
      <c r="F130" s="34">
        <v>2</v>
      </c>
    </row>
    <row r="131" spans="1:6" ht="15">
      <c r="A131" s="10">
        <v>2</v>
      </c>
      <c r="B131" s="7" t="s">
        <v>158</v>
      </c>
      <c r="C131" s="10" t="s">
        <v>160</v>
      </c>
      <c r="D131" s="10">
        <v>27000</v>
      </c>
      <c r="E131" s="33">
        <f>D131/12/$D$69</f>
        <v>0.6813020439061317</v>
      </c>
      <c r="F131" s="34">
        <v>2</v>
      </c>
    </row>
    <row r="132" spans="1:6" ht="15">
      <c r="A132" s="10">
        <v>3</v>
      </c>
      <c r="B132" s="7" t="s">
        <v>159</v>
      </c>
      <c r="C132" s="10" t="s">
        <v>160</v>
      </c>
      <c r="D132" s="10">
        <v>26040</v>
      </c>
      <c r="E132" s="33">
        <f>D132/12/$D$69</f>
        <v>0.6570779712339136</v>
      </c>
      <c r="F132" s="34">
        <v>2</v>
      </c>
    </row>
    <row r="133" spans="1:6" ht="15">
      <c r="A133" s="47"/>
      <c r="B133" s="47" t="s">
        <v>31</v>
      </c>
      <c r="C133" s="47"/>
      <c r="D133" s="48">
        <f>SUM(D130:D132)</f>
        <v>78190</v>
      </c>
      <c r="E133" s="49">
        <f>SUM(E130:E132)</f>
        <v>1.9730002523340902</v>
      </c>
      <c r="F133" s="47"/>
    </row>
    <row r="134" ht="7.5" customHeight="1"/>
    <row r="135" ht="5.25" customHeight="1"/>
    <row r="136" spans="2:3" ht="43.5">
      <c r="B136" s="27" t="s">
        <v>97</v>
      </c>
      <c r="C136" s="58">
        <f>C46+C113</f>
        <v>607833.1270510933</v>
      </c>
    </row>
  </sheetData>
  <mergeCells count="22">
    <mergeCell ref="A4:E4"/>
    <mergeCell ref="A21:C21"/>
    <mergeCell ref="A24:C24"/>
    <mergeCell ref="A29:C29"/>
    <mergeCell ref="A7:C7"/>
    <mergeCell ref="A79:C79"/>
    <mergeCell ref="A88:C88"/>
    <mergeCell ref="A91:C91"/>
    <mergeCell ref="A96:C96"/>
    <mergeCell ref="A12:C12"/>
    <mergeCell ref="A34:C34"/>
    <mergeCell ref="A71:E71"/>
    <mergeCell ref="A74:C74"/>
    <mergeCell ref="A55:C55"/>
    <mergeCell ref="A32:C32"/>
    <mergeCell ref="A49:F49"/>
    <mergeCell ref="A52:C52"/>
    <mergeCell ref="A122:C122"/>
    <mergeCell ref="A99:C99"/>
    <mergeCell ref="A101:C101"/>
    <mergeCell ref="A116:F116"/>
    <mergeCell ref="A119:C119"/>
  </mergeCells>
  <printOptions/>
  <pageMargins left="0.7874015748031497" right="0.2362204724409449" top="0.5905511811023623" bottom="0.5905511811023623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31"/>
  <sheetViews>
    <sheetView workbookViewId="0" topLeftCell="A119">
      <selection activeCell="B16" sqref="B16"/>
    </sheetView>
  </sheetViews>
  <sheetFormatPr defaultColWidth="9.140625" defaultRowHeight="12.75"/>
  <cols>
    <col min="1" max="1" width="3.421875" style="3" customWidth="1"/>
    <col min="2" max="2" width="40.8515625" style="3" customWidth="1"/>
    <col min="3" max="3" width="17.421875" style="3" customWidth="1"/>
    <col min="4" max="4" width="11.28125" style="3" customWidth="1"/>
    <col min="5" max="5" width="11.8515625" style="3" customWidth="1"/>
    <col min="6" max="6" width="8.57421875" style="3" customWidth="1"/>
    <col min="7" max="16384" width="9.140625" style="3" customWidth="1"/>
  </cols>
  <sheetData>
    <row r="1" ht="15">
      <c r="B1" s="56" t="s">
        <v>72</v>
      </c>
    </row>
    <row r="2" spans="1:6" ht="17.25" customHeight="1">
      <c r="A2" s="2"/>
      <c r="B2" s="1" t="s">
        <v>164</v>
      </c>
      <c r="C2" s="4"/>
      <c r="D2" s="50">
        <v>2099.4</v>
      </c>
      <c r="E2" s="5" t="s">
        <v>0</v>
      </c>
      <c r="F2" s="2"/>
    </row>
    <row r="3" spans="1:6" ht="3" customHeight="1">
      <c r="A3" s="2"/>
      <c r="B3" s="6"/>
      <c r="C3" s="2"/>
      <c r="D3" s="2"/>
      <c r="E3" s="2"/>
      <c r="F3" s="2"/>
    </row>
    <row r="4" spans="1:6" ht="28.5" customHeight="1">
      <c r="A4" s="88" t="s">
        <v>109</v>
      </c>
      <c r="B4" s="88"/>
      <c r="C4" s="88"/>
      <c r="D4" s="88"/>
      <c r="E4" s="88"/>
      <c r="F4" s="2"/>
    </row>
    <row r="5" spans="1:6" ht="4.5" customHeight="1">
      <c r="A5" s="1"/>
      <c r="B5" s="1"/>
      <c r="C5" s="1"/>
      <c r="D5" s="1"/>
      <c r="E5" s="1"/>
      <c r="F5" s="2"/>
    </row>
    <row r="6" spans="1:6" ht="85.5">
      <c r="A6" s="7"/>
      <c r="B6" s="8" t="s">
        <v>1</v>
      </c>
      <c r="C6" s="8" t="s">
        <v>2</v>
      </c>
      <c r="D6" s="8" t="s">
        <v>3</v>
      </c>
      <c r="E6" s="8" t="s">
        <v>4</v>
      </c>
      <c r="F6" s="2"/>
    </row>
    <row r="7" spans="1:6" s="60" customFormat="1" ht="15">
      <c r="A7" s="100" t="s">
        <v>125</v>
      </c>
      <c r="B7" s="101"/>
      <c r="C7" s="101"/>
      <c r="D7" s="62">
        <f>SUM(D8:D10)</f>
        <v>17935.905426413876</v>
      </c>
      <c r="E7" s="62">
        <f>SUM(E8:E10)</f>
        <v>0.7119456918807704</v>
      </c>
      <c r="F7" s="59"/>
    </row>
    <row r="8" spans="1:6" s="60" customFormat="1" ht="30">
      <c r="A8" s="63">
        <v>1</v>
      </c>
      <c r="B8" s="64" t="s">
        <v>126</v>
      </c>
      <c r="C8" s="65" t="s">
        <v>6</v>
      </c>
      <c r="D8" s="66">
        <f>E8*$D$2*12</f>
        <v>8782.643305693513</v>
      </c>
      <c r="E8" s="67">
        <v>0.348617196409034</v>
      </c>
      <c r="F8" s="59"/>
    </row>
    <row r="9" spans="1:6" s="60" customFormat="1" ht="15">
      <c r="A9" s="63">
        <v>2</v>
      </c>
      <c r="B9" s="64" t="s">
        <v>129</v>
      </c>
      <c r="C9" s="64" t="s">
        <v>127</v>
      </c>
      <c r="D9" s="66">
        <f>E9*$D$2*12</f>
        <v>8782.643305693513</v>
      </c>
      <c r="E9" s="67">
        <v>0.348617196409034</v>
      </c>
      <c r="F9" s="59"/>
    </row>
    <row r="10" spans="1:6" s="60" customFormat="1" ht="30">
      <c r="A10" s="63">
        <v>3</v>
      </c>
      <c r="B10" s="64" t="s">
        <v>131</v>
      </c>
      <c r="C10" s="64" t="s">
        <v>130</v>
      </c>
      <c r="D10" s="66">
        <f>E10*$D$2*12</f>
        <v>370.61881502684855</v>
      </c>
      <c r="E10" s="67">
        <f>0.00263796641283858+0.0120733326498638</f>
        <v>0.01471129906270238</v>
      </c>
      <c r="F10" s="59"/>
    </row>
    <row r="11" spans="1:6" s="60" customFormat="1" ht="30.75" customHeight="1">
      <c r="A11" s="89" t="s">
        <v>102</v>
      </c>
      <c r="B11" s="89"/>
      <c r="C11" s="89"/>
      <c r="D11" s="68">
        <f>SUM(D12:D16)</f>
        <v>42253.53779004559</v>
      </c>
      <c r="E11" s="68">
        <f>SUM(E12:E16)</f>
        <v>1.6772068920503316</v>
      </c>
      <c r="F11" s="69"/>
    </row>
    <row r="12" spans="1:6" s="60" customFormat="1" ht="30">
      <c r="A12" s="63">
        <v>4</v>
      </c>
      <c r="B12" s="61" t="s">
        <v>133</v>
      </c>
      <c r="C12" s="65" t="s">
        <v>6</v>
      </c>
      <c r="D12" s="66">
        <f>E12*$D$2*12</f>
        <v>2553.084860693814</v>
      </c>
      <c r="E12" s="67">
        <v>0.101341846110548</v>
      </c>
      <c r="F12" s="59"/>
    </row>
    <row r="13" spans="1:6" s="60" customFormat="1" ht="30">
      <c r="A13" s="63">
        <v>5</v>
      </c>
      <c r="B13" s="61" t="s">
        <v>134</v>
      </c>
      <c r="C13" s="64" t="s">
        <v>135</v>
      </c>
      <c r="D13" s="66">
        <f>E13*$D$2*12</f>
        <v>3263.886895773356</v>
      </c>
      <c r="E13" s="66">
        <v>0.12955633735723524</v>
      </c>
      <c r="F13" s="59"/>
    </row>
    <row r="14" spans="1:6" s="60" customFormat="1" ht="60">
      <c r="A14" s="63">
        <v>6</v>
      </c>
      <c r="B14" s="65" t="s">
        <v>136</v>
      </c>
      <c r="C14" s="65" t="s">
        <v>137</v>
      </c>
      <c r="D14" s="66">
        <f>E14*$D$2*12</f>
        <v>17407.3967774579</v>
      </c>
      <c r="E14" s="66">
        <v>0.6909671325719213</v>
      </c>
      <c r="F14" s="59"/>
    </row>
    <row r="15" spans="1:6" s="60" customFormat="1" ht="15">
      <c r="A15" s="63">
        <v>7</v>
      </c>
      <c r="B15" s="64" t="s">
        <v>9</v>
      </c>
      <c r="C15" s="64" t="s">
        <v>139</v>
      </c>
      <c r="D15" s="66">
        <f>E15*$D$2*12</f>
        <v>6160.5606672104595</v>
      </c>
      <c r="E15" s="67">
        <f>0.243788875580172+0.00074768515188077</f>
        <v>0.2445365607320528</v>
      </c>
      <c r="F15" s="59"/>
    </row>
    <row r="16" spans="1:7" s="60" customFormat="1" ht="15" customHeight="1">
      <c r="A16" s="63">
        <v>8</v>
      </c>
      <c r="B16" s="64" t="s">
        <v>140</v>
      </c>
      <c r="C16" s="64" t="s">
        <v>130</v>
      </c>
      <c r="D16" s="66">
        <f>E16*$D$2*12</f>
        <v>12868.608588910065</v>
      </c>
      <c r="E16" s="66">
        <v>0.5108050152785741</v>
      </c>
      <c r="F16" s="70"/>
      <c r="G16" s="71"/>
    </row>
    <row r="17" spans="1:7" ht="15">
      <c r="A17" s="90" t="s">
        <v>156</v>
      </c>
      <c r="B17" s="91"/>
      <c r="C17" s="92"/>
      <c r="D17" s="17">
        <f>SUM(D18:D19)</f>
        <v>18167.11791929864</v>
      </c>
      <c r="E17" s="17">
        <f>SUM(E18:E19)</f>
        <v>0.7211234130108062</v>
      </c>
      <c r="F17" s="20"/>
      <c r="G17" s="19"/>
    </row>
    <row r="18" spans="1:7" ht="15.75" customHeight="1">
      <c r="A18" s="12">
        <v>9</v>
      </c>
      <c r="B18" s="7" t="s">
        <v>11</v>
      </c>
      <c r="C18" s="14" t="s">
        <v>12</v>
      </c>
      <c r="D18" s="15">
        <f>E18*$D$2*12</f>
        <v>16621.333869440656</v>
      </c>
      <c r="E18" s="21">
        <v>0.659765245206593</v>
      </c>
      <c r="F18" s="18"/>
      <c r="G18" s="19"/>
    </row>
    <row r="19" spans="1:7" ht="30">
      <c r="A19" s="12">
        <v>10</v>
      </c>
      <c r="B19" s="13" t="s">
        <v>13</v>
      </c>
      <c r="C19" s="13" t="s">
        <v>14</v>
      </c>
      <c r="D19" s="15">
        <f>E19*$D$2*12</f>
        <v>1545.7840498579824</v>
      </c>
      <c r="E19" s="21">
        <v>0.0613581678042132</v>
      </c>
      <c r="F19" s="18"/>
      <c r="G19" s="19"/>
    </row>
    <row r="20" spans="1:7" ht="29.25" customHeight="1">
      <c r="A20" s="90" t="s">
        <v>157</v>
      </c>
      <c r="B20" s="93"/>
      <c r="C20" s="94"/>
      <c r="D20" s="22">
        <f>SUM(D21:D24)</f>
        <v>26673.918724357434</v>
      </c>
      <c r="E20" s="22">
        <f>SUM(E21:E24)</f>
        <v>1.0587913500824613</v>
      </c>
      <c r="F20" s="18"/>
      <c r="G20" s="19"/>
    </row>
    <row r="21" spans="1:7" ht="29.25" customHeight="1">
      <c r="A21" s="63">
        <v>11</v>
      </c>
      <c r="B21" s="64" t="s">
        <v>15</v>
      </c>
      <c r="C21" s="64" t="s">
        <v>7</v>
      </c>
      <c r="D21" s="15">
        <f>E21*12*$D$2</f>
        <v>643.5031356988529</v>
      </c>
      <c r="E21" s="15">
        <v>0.025543136757281957</v>
      </c>
      <c r="F21" s="18"/>
      <c r="G21" s="19"/>
    </row>
    <row r="22" spans="1:7" ht="29.25" customHeight="1">
      <c r="A22" s="63">
        <v>12</v>
      </c>
      <c r="B22" s="64" t="s">
        <v>16</v>
      </c>
      <c r="C22" s="64" t="s">
        <v>7</v>
      </c>
      <c r="D22" s="15">
        <f>E22*12*$D$2</f>
        <v>2004.8540164276435</v>
      </c>
      <c r="E22" s="15">
        <v>0.07958043633211248</v>
      </c>
      <c r="F22" s="18"/>
      <c r="G22" s="19"/>
    </row>
    <row r="23" spans="1:7" ht="29.25" customHeight="1">
      <c r="A23" s="63">
        <v>13</v>
      </c>
      <c r="B23" s="64" t="s">
        <v>141</v>
      </c>
      <c r="C23" s="64" t="s">
        <v>7</v>
      </c>
      <c r="D23" s="15">
        <f>E23*12*$D$2</f>
        <v>886.8853522368483</v>
      </c>
      <c r="E23" s="15">
        <v>0.035203921447272565</v>
      </c>
      <c r="F23" s="18"/>
      <c r="G23" s="19"/>
    </row>
    <row r="24" spans="1:6" ht="91.5" customHeight="1">
      <c r="A24" s="63">
        <v>14</v>
      </c>
      <c r="B24" s="64" t="s">
        <v>17</v>
      </c>
      <c r="C24" s="64" t="s">
        <v>7</v>
      </c>
      <c r="D24" s="15">
        <f>E24*12*$D$2</f>
        <v>23138.67621999409</v>
      </c>
      <c r="E24" s="15">
        <v>0.9184638555457943</v>
      </c>
      <c r="F24" s="2"/>
    </row>
    <row r="25" spans="1:9" ht="15">
      <c r="A25" s="95" t="s">
        <v>142</v>
      </c>
      <c r="B25" s="96"/>
      <c r="C25" s="96"/>
      <c r="D25" s="11">
        <f>SUM(D26:D27)</f>
        <v>38023.256815843524</v>
      </c>
      <c r="E25" s="11">
        <f>SUM(E26:E27)</f>
        <v>1.509290623346493</v>
      </c>
      <c r="F25" s="2"/>
      <c r="G25" s="51"/>
      <c r="H25" s="51"/>
      <c r="I25" s="52"/>
    </row>
    <row r="26" spans="1:9" ht="74.25" customHeight="1">
      <c r="A26" s="12">
        <v>15</v>
      </c>
      <c r="B26" s="64" t="s">
        <v>18</v>
      </c>
      <c r="C26" s="64" t="s">
        <v>7</v>
      </c>
      <c r="D26" s="15">
        <f>E26*12*$D$2</f>
        <v>1767.2493183665279</v>
      </c>
      <c r="E26" s="15">
        <f>0.00816699453075029+0.0619819892410626</f>
        <v>0.07014898377181289</v>
      </c>
      <c r="F26" s="2"/>
      <c r="G26" s="51"/>
      <c r="H26" s="51"/>
      <c r="I26" s="52"/>
    </row>
    <row r="27" spans="1:9" ht="104.25" customHeight="1">
      <c r="A27" s="12">
        <v>16</v>
      </c>
      <c r="B27" s="64" t="s">
        <v>19</v>
      </c>
      <c r="C27" s="64" t="s">
        <v>20</v>
      </c>
      <c r="D27" s="15">
        <f>E27*12*$D$2</f>
        <v>36256.007497476996</v>
      </c>
      <c r="E27" s="21">
        <f>1.32661852497468+0.1125231146</f>
        <v>1.43914163957468</v>
      </c>
      <c r="F27" s="2"/>
      <c r="G27" s="54"/>
      <c r="H27" s="54"/>
      <c r="I27" s="54"/>
    </row>
    <row r="28" spans="1:9" ht="15">
      <c r="A28" s="95" t="s">
        <v>143</v>
      </c>
      <c r="B28" s="95"/>
      <c r="C28" s="95"/>
      <c r="D28" s="23">
        <f>SUM(D29)</f>
        <v>11838.960000000014</v>
      </c>
      <c r="E28" s="22">
        <f>SUM(E29)</f>
        <v>0.46993426693341</v>
      </c>
      <c r="F28" s="2"/>
      <c r="G28" s="54"/>
      <c r="H28" s="54"/>
      <c r="I28" s="54"/>
    </row>
    <row r="29" spans="1:6" ht="15">
      <c r="A29" s="12">
        <v>17</v>
      </c>
      <c r="B29" s="13" t="s">
        <v>21</v>
      </c>
      <c r="C29" s="13" t="s">
        <v>22</v>
      </c>
      <c r="D29" s="15">
        <f>E29*12*$D$2</f>
        <v>11838.960000000014</v>
      </c>
      <c r="E29" s="21">
        <v>0.46993426693341</v>
      </c>
      <c r="F29" s="2"/>
    </row>
    <row r="30" spans="1:6" ht="15">
      <c r="A30" s="100" t="s">
        <v>144</v>
      </c>
      <c r="B30" s="100"/>
      <c r="C30" s="100"/>
      <c r="D30" s="73">
        <f>SUM(D31:D32)</f>
        <v>1615.335068245663</v>
      </c>
      <c r="E30" s="73">
        <f>SUM(E31:E32)</f>
        <v>0.0641189176370099</v>
      </c>
      <c r="F30" s="2"/>
    </row>
    <row r="31" spans="1:6" ht="30">
      <c r="A31" s="63">
        <v>18</v>
      </c>
      <c r="B31" s="64" t="s">
        <v>23</v>
      </c>
      <c r="C31" s="64" t="s">
        <v>14</v>
      </c>
      <c r="D31" s="15">
        <f>E31*12*$D$2</f>
        <v>1363.407068245663</v>
      </c>
      <c r="E31" s="72">
        <v>0.0541189176370099</v>
      </c>
      <c r="F31" s="2"/>
    </row>
    <row r="32" spans="1:6" ht="44.25" customHeight="1">
      <c r="A32" s="63">
        <v>19</v>
      </c>
      <c r="B32" s="64" t="s">
        <v>145</v>
      </c>
      <c r="C32" s="64" t="s">
        <v>146</v>
      </c>
      <c r="D32" s="15">
        <f>E32*12*$D$2</f>
        <v>251.928</v>
      </c>
      <c r="E32" s="66">
        <v>0.01</v>
      </c>
      <c r="F32" s="2"/>
    </row>
    <row r="33" spans="1:6" ht="15">
      <c r="A33" s="8"/>
      <c r="B33" s="24" t="s">
        <v>24</v>
      </c>
      <c r="C33" s="24"/>
      <c r="D33" s="25">
        <f>D7+D11+D17+D20+D25+D28+D30</f>
        <v>156508.03174420472</v>
      </c>
      <c r="E33" s="17">
        <f>E7+E11+E17+E20+E25+E28+E30</f>
        <v>6.212411154941282</v>
      </c>
      <c r="F33" s="5"/>
    </row>
    <row r="34" spans="1:6" ht="4.5" customHeight="1">
      <c r="A34" s="26"/>
      <c r="B34" s="27"/>
      <c r="C34" s="28"/>
      <c r="D34" s="29"/>
      <c r="E34" s="30"/>
      <c r="F34" s="2"/>
    </row>
    <row r="35" spans="1:6" ht="5.25" customHeight="1">
      <c r="A35" s="26"/>
      <c r="B35" s="27"/>
      <c r="C35" s="28"/>
      <c r="D35" s="29"/>
      <c r="E35" s="30"/>
      <c r="F35" s="2"/>
    </row>
    <row r="36" spans="1:6" ht="105">
      <c r="A36" s="10" t="s">
        <v>25</v>
      </c>
      <c r="B36" s="10" t="s">
        <v>26</v>
      </c>
      <c r="C36" s="10" t="s">
        <v>27</v>
      </c>
      <c r="D36" s="10" t="s">
        <v>28</v>
      </c>
      <c r="E36" s="10" t="s">
        <v>29</v>
      </c>
      <c r="F36" s="10" t="s">
        <v>30</v>
      </c>
    </row>
    <row r="37" spans="1:6" ht="15">
      <c r="A37" s="10">
        <v>1</v>
      </c>
      <c r="B37" s="7" t="s">
        <v>165</v>
      </c>
      <c r="C37" s="10" t="s">
        <v>166</v>
      </c>
      <c r="D37" s="10">
        <v>6912</v>
      </c>
      <c r="E37" s="33">
        <f>D37/12/$D$2</f>
        <v>0.2743641040297228</v>
      </c>
      <c r="F37" s="34">
        <v>2</v>
      </c>
    </row>
    <row r="38" spans="1:6" ht="15">
      <c r="A38" s="10">
        <v>2</v>
      </c>
      <c r="B38" s="7" t="s">
        <v>158</v>
      </c>
      <c r="C38" s="10" t="s">
        <v>167</v>
      </c>
      <c r="D38" s="10">
        <v>20250</v>
      </c>
      <c r="E38" s="33">
        <f>D38/12/$D$2</f>
        <v>0.8038010860245784</v>
      </c>
      <c r="F38" s="34">
        <v>2</v>
      </c>
    </row>
    <row r="39" spans="1:6" ht="15">
      <c r="A39" s="10">
        <v>3</v>
      </c>
      <c r="B39" s="7" t="s">
        <v>159</v>
      </c>
      <c r="C39" s="10" t="s">
        <v>167</v>
      </c>
      <c r="D39" s="10">
        <v>19530</v>
      </c>
      <c r="E39" s="33">
        <f>D39/12/$D$2</f>
        <v>0.7752214918548156</v>
      </c>
      <c r="F39" s="34">
        <v>2</v>
      </c>
    </row>
    <row r="40" spans="1:6" ht="15">
      <c r="A40" s="10"/>
      <c r="B40" s="36" t="s">
        <v>31</v>
      </c>
      <c r="C40" s="9"/>
      <c r="D40" s="37">
        <f>SUM(D37:D39)</f>
        <v>46692</v>
      </c>
      <c r="E40" s="38">
        <f>SUM(E37:E39)</f>
        <v>1.8533866819091167</v>
      </c>
      <c r="F40" s="39"/>
    </row>
    <row r="41" spans="1:6" ht="7.5" customHeight="1">
      <c r="A41" s="26"/>
      <c r="B41" s="27"/>
      <c r="C41" s="40"/>
      <c r="D41" s="40"/>
      <c r="E41" s="40"/>
      <c r="F41" s="40"/>
    </row>
    <row r="42" spans="1:6" ht="29.25">
      <c r="A42" s="26"/>
      <c r="B42" s="27" t="s">
        <v>32</v>
      </c>
      <c r="C42" s="41">
        <f>D33+D40</f>
        <v>203200.03174420472</v>
      </c>
      <c r="D42" s="41"/>
      <c r="E42" s="41"/>
      <c r="F42" s="40"/>
    </row>
    <row r="43" spans="1:6" ht="15">
      <c r="A43" s="26"/>
      <c r="B43" s="27" t="s">
        <v>33</v>
      </c>
      <c r="C43" s="42">
        <f>E33+E40</f>
        <v>8.065797836850399</v>
      </c>
      <c r="D43" s="40"/>
      <c r="E43" s="40"/>
      <c r="F43" s="40"/>
    </row>
    <row r="44" spans="1:6" ht="7.5" customHeight="1">
      <c r="A44" s="26"/>
      <c r="B44" s="27"/>
      <c r="C44" s="42"/>
      <c r="D44" s="40"/>
      <c r="E44" s="40"/>
      <c r="F44" s="40"/>
    </row>
    <row r="45" spans="1:6" ht="30.75" customHeight="1">
      <c r="A45" s="88" t="s">
        <v>111</v>
      </c>
      <c r="B45" s="88"/>
      <c r="C45" s="88"/>
      <c r="D45" s="88"/>
      <c r="E45" s="88"/>
      <c r="F45" s="88"/>
    </row>
    <row r="46" spans="1:6" ht="6" customHeight="1">
      <c r="A46" s="1"/>
      <c r="B46" s="1"/>
      <c r="C46" s="1"/>
      <c r="D46" s="2"/>
      <c r="E46" s="2"/>
      <c r="F46" s="2"/>
    </row>
    <row r="47" spans="1:6" ht="85.5">
      <c r="A47" s="7"/>
      <c r="B47" s="8" t="s">
        <v>1</v>
      </c>
      <c r="C47" s="8" t="s">
        <v>2</v>
      </c>
      <c r="D47" s="8" t="s">
        <v>3</v>
      </c>
      <c r="E47" s="8" t="s">
        <v>4</v>
      </c>
      <c r="F47" s="2"/>
    </row>
    <row r="48" spans="1:5" ht="30" customHeight="1">
      <c r="A48" s="89" t="s">
        <v>123</v>
      </c>
      <c r="B48" s="89"/>
      <c r="C48" s="89"/>
      <c r="D48" s="17">
        <f>SUM(D49:D50)</f>
        <v>13425.89295854027</v>
      </c>
      <c r="E48" s="17">
        <f>SUM(E49:E50)</f>
        <v>0.532925794613551</v>
      </c>
    </row>
    <row r="49" spans="1:5" ht="30" customHeight="1">
      <c r="A49" s="63" t="s">
        <v>5</v>
      </c>
      <c r="B49" s="74" t="s">
        <v>126</v>
      </c>
      <c r="C49" s="74" t="s">
        <v>149</v>
      </c>
      <c r="D49" s="15">
        <f>E49*12*$D$2</f>
        <v>13173.96495854027</v>
      </c>
      <c r="E49" s="75">
        <f>3*E8/2</f>
        <v>0.522925794613551</v>
      </c>
    </row>
    <row r="50" spans="1:5" ht="30">
      <c r="A50" s="63" t="s">
        <v>34</v>
      </c>
      <c r="B50" s="43" t="s">
        <v>35</v>
      </c>
      <c r="C50" s="43" t="s">
        <v>42</v>
      </c>
      <c r="D50" s="15">
        <f>E50*12*$D$2</f>
        <v>251.928</v>
      </c>
      <c r="E50" s="44">
        <v>0.01</v>
      </c>
    </row>
    <row r="51" spans="1:5" ht="30" customHeight="1">
      <c r="A51" s="89" t="s">
        <v>102</v>
      </c>
      <c r="B51" s="89"/>
      <c r="C51" s="89"/>
      <c r="D51" s="17">
        <f>SUM(D52:D54)</f>
        <v>9350.792418618717</v>
      </c>
      <c r="E51" s="17">
        <f>SUM(E52:E54)</f>
        <v>0.3711692395691911</v>
      </c>
    </row>
    <row r="52" spans="1:5" ht="30" customHeight="1">
      <c r="A52" s="63" t="s">
        <v>151</v>
      </c>
      <c r="B52" s="74" t="s">
        <v>152</v>
      </c>
      <c r="C52" s="74" t="s">
        <v>153</v>
      </c>
      <c r="D52" s="15">
        <f>E52*$D$2*12</f>
        <v>503.856</v>
      </c>
      <c r="E52" s="75">
        <v>0.02</v>
      </c>
    </row>
    <row r="53" spans="1:5" ht="30" customHeight="1">
      <c r="A53" s="63" t="s">
        <v>154</v>
      </c>
      <c r="B53" s="76" t="s">
        <v>133</v>
      </c>
      <c r="C53" s="76" t="s">
        <v>155</v>
      </c>
      <c r="D53" s="15">
        <f>E53*$D$2*12</f>
        <v>6382.712151734534</v>
      </c>
      <c r="E53" s="75">
        <f>5*E12/2</f>
        <v>0.25335461527637</v>
      </c>
    </row>
    <row r="54" spans="1:5" ht="30">
      <c r="A54" s="63" t="s">
        <v>128</v>
      </c>
      <c r="B54" s="77" t="s">
        <v>9</v>
      </c>
      <c r="C54" s="61" t="s">
        <v>150</v>
      </c>
      <c r="D54" s="15">
        <f>E54*$D$2*12</f>
        <v>2464.224266884184</v>
      </c>
      <c r="E54" s="67">
        <f>2*E15/5</f>
        <v>0.09781462429282112</v>
      </c>
    </row>
    <row r="55" spans="1:6" ht="15">
      <c r="A55" s="8"/>
      <c r="B55" s="24" t="s">
        <v>24</v>
      </c>
      <c r="C55" s="24"/>
      <c r="D55" s="25">
        <f>D48+D51</f>
        <v>22776.68537715899</v>
      </c>
      <c r="E55" s="17">
        <f>E48+E51</f>
        <v>0.9040950341827422</v>
      </c>
      <c r="F55" s="5"/>
    </row>
    <row r="56" spans="1:6" ht="5.25" customHeight="1">
      <c r="A56" s="2"/>
      <c r="B56" s="2"/>
      <c r="C56" s="2"/>
      <c r="D56" s="2"/>
      <c r="E56" s="2"/>
      <c r="F56" s="2"/>
    </row>
    <row r="57" spans="1:6" ht="7.5" customHeight="1">
      <c r="A57" s="31"/>
      <c r="B57" s="31"/>
      <c r="C57" s="31"/>
      <c r="D57" s="31"/>
      <c r="E57" s="31"/>
      <c r="F57" s="32"/>
    </row>
    <row r="58" spans="1:6" ht="105">
      <c r="A58" s="10" t="s">
        <v>25</v>
      </c>
      <c r="B58" s="10" t="s">
        <v>26</v>
      </c>
      <c r="C58" s="10" t="s">
        <v>27</v>
      </c>
      <c r="D58" s="10" t="s">
        <v>28</v>
      </c>
      <c r="E58" s="10" t="s">
        <v>36</v>
      </c>
      <c r="F58" s="10" t="s">
        <v>30</v>
      </c>
    </row>
    <row r="59" spans="1:6" ht="15">
      <c r="A59" s="10">
        <v>1</v>
      </c>
      <c r="B59" s="7" t="s">
        <v>165</v>
      </c>
      <c r="C59" s="10" t="s">
        <v>168</v>
      </c>
      <c r="D59" s="10">
        <v>17280</v>
      </c>
      <c r="E59" s="46">
        <f>D59/12/$D$2</f>
        <v>0.6859102600743069</v>
      </c>
      <c r="F59" s="34">
        <v>2</v>
      </c>
    </row>
    <row r="60" spans="1:6" ht="15">
      <c r="A60" s="10">
        <v>2</v>
      </c>
      <c r="B60" s="7" t="s">
        <v>158</v>
      </c>
      <c r="C60" s="10" t="s">
        <v>169</v>
      </c>
      <c r="D60" s="10">
        <v>16875</v>
      </c>
      <c r="E60" s="46">
        <f>D60/12/$D$2</f>
        <v>0.6698342383538154</v>
      </c>
      <c r="F60" s="34">
        <v>2</v>
      </c>
    </row>
    <row r="61" spans="1:6" ht="15">
      <c r="A61" s="10">
        <v>3</v>
      </c>
      <c r="B61" s="7" t="s">
        <v>159</v>
      </c>
      <c r="C61" s="10" t="s">
        <v>169</v>
      </c>
      <c r="D61" s="10">
        <v>16275</v>
      </c>
      <c r="E61" s="46">
        <f>D61/12/$D$2</f>
        <v>0.646017909879013</v>
      </c>
      <c r="F61" s="34">
        <v>2</v>
      </c>
    </row>
    <row r="62" spans="1:6" ht="15">
      <c r="A62" s="47"/>
      <c r="B62" s="47" t="s">
        <v>31</v>
      </c>
      <c r="C62" s="47"/>
      <c r="D62" s="48">
        <f>SUM(D59:D61)</f>
        <v>50430</v>
      </c>
      <c r="E62" s="49">
        <f>SUM(E59:E61)</f>
        <v>2.0017624083071355</v>
      </c>
      <c r="F62" s="47"/>
    </row>
    <row r="65" spans="1:6" ht="20.25" customHeight="1">
      <c r="A65" s="2"/>
      <c r="B65" s="1" t="s">
        <v>170</v>
      </c>
      <c r="C65" s="4"/>
      <c r="D65" s="50">
        <v>2017.3</v>
      </c>
      <c r="E65" s="5" t="s">
        <v>0</v>
      </c>
      <c r="F65" s="2"/>
    </row>
    <row r="66" spans="1:6" ht="6" customHeight="1">
      <c r="A66" s="2"/>
      <c r="B66" s="6"/>
      <c r="C66" s="2"/>
      <c r="D66" s="2"/>
      <c r="E66" s="2"/>
      <c r="F66" s="2"/>
    </row>
    <row r="67" spans="1:6" ht="32.25" customHeight="1">
      <c r="A67" s="88" t="s">
        <v>109</v>
      </c>
      <c r="B67" s="88"/>
      <c r="C67" s="88"/>
      <c r="D67" s="88"/>
      <c r="E67" s="88"/>
      <c r="F67" s="2"/>
    </row>
    <row r="68" spans="1:6" ht="15">
      <c r="A68" s="1"/>
      <c r="B68" s="1"/>
      <c r="C68" s="1"/>
      <c r="D68" s="1"/>
      <c r="E68" s="1"/>
      <c r="F68" s="2"/>
    </row>
    <row r="69" spans="1:6" ht="85.5">
      <c r="A69" s="7"/>
      <c r="B69" s="8" t="s">
        <v>1</v>
      </c>
      <c r="C69" s="8" t="s">
        <v>2</v>
      </c>
      <c r="D69" s="8" t="s">
        <v>3</v>
      </c>
      <c r="E69" s="8" t="s">
        <v>4</v>
      </c>
      <c r="F69" s="2"/>
    </row>
    <row r="70" spans="1:6" s="60" customFormat="1" ht="15">
      <c r="A70" s="100" t="s">
        <v>125</v>
      </c>
      <c r="B70" s="101"/>
      <c r="C70" s="101"/>
      <c r="D70" s="62">
        <f>SUM(D71:D74)</f>
        <v>17426.973582941417</v>
      </c>
      <c r="E70" s="62">
        <f>SUM(E71:E74)</f>
        <v>0.7198967920380961</v>
      </c>
      <c r="F70" s="59"/>
    </row>
    <row r="71" spans="1:6" s="60" customFormat="1" ht="30">
      <c r="A71" s="63">
        <v>1</v>
      </c>
      <c r="B71" s="64" t="s">
        <v>126</v>
      </c>
      <c r="C71" s="65" t="s">
        <v>6</v>
      </c>
      <c r="D71" s="66">
        <f>E71*$D$65*12</f>
        <v>8439.185643791332</v>
      </c>
      <c r="E71" s="67">
        <v>0.348617196409034</v>
      </c>
      <c r="F71" s="59"/>
    </row>
    <row r="72" spans="1:6" s="60" customFormat="1" ht="15">
      <c r="A72" s="63">
        <v>2</v>
      </c>
      <c r="B72" s="64" t="s">
        <v>129</v>
      </c>
      <c r="C72" s="64" t="s">
        <v>127</v>
      </c>
      <c r="D72" s="66">
        <f>E72*$D$65*12</f>
        <v>8439.185643791332</v>
      </c>
      <c r="E72" s="67">
        <v>0.348617196409034</v>
      </c>
      <c r="F72" s="59"/>
    </row>
    <row r="73" spans="1:6" s="60" customFormat="1" ht="30">
      <c r="A73" s="63">
        <v>3</v>
      </c>
      <c r="B73" s="64" t="s">
        <v>131</v>
      </c>
      <c r="C73" s="64" t="s">
        <v>130</v>
      </c>
      <c r="D73" s="66">
        <f>E73*$D$65*12</f>
        <v>370.6188150268479</v>
      </c>
      <c r="E73" s="67">
        <f>0.00274532627130983+0.0125646926907867</f>
        <v>0.015310018962096529</v>
      </c>
      <c r="F73" s="59"/>
    </row>
    <row r="74" spans="1:6" s="60" customFormat="1" ht="15">
      <c r="A74" s="63">
        <v>4</v>
      </c>
      <c r="B74" s="64" t="s">
        <v>132</v>
      </c>
      <c r="C74" s="64" t="s">
        <v>7</v>
      </c>
      <c r="D74" s="66">
        <f>E74*$D$65*12</f>
        <v>177.98348033190572</v>
      </c>
      <c r="E74" s="67">
        <v>0.00735238025793163</v>
      </c>
      <c r="F74" s="59"/>
    </row>
    <row r="75" spans="1:6" s="60" customFormat="1" ht="30.75" customHeight="1">
      <c r="A75" s="89" t="s">
        <v>102</v>
      </c>
      <c r="B75" s="89"/>
      <c r="C75" s="89"/>
      <c r="D75" s="68">
        <f>SUM(D76:D81)</f>
        <v>42095.77015025506</v>
      </c>
      <c r="E75" s="68">
        <f>SUM(E76:E81)</f>
        <v>1.7389485182444795</v>
      </c>
      <c r="F75" s="69"/>
    </row>
    <row r="76" spans="1:6" s="60" customFormat="1" ht="30">
      <c r="A76" s="63">
        <v>5</v>
      </c>
      <c r="B76" s="61" t="s">
        <v>133</v>
      </c>
      <c r="C76" s="65" t="s">
        <v>6</v>
      </c>
      <c r="D76" s="66">
        <f aca="true" t="shared" si="0" ref="D76:D81">E76*$D$65*12</f>
        <v>2553.084860693834</v>
      </c>
      <c r="E76" s="67">
        <v>0.105466252775733</v>
      </c>
      <c r="F76" s="59"/>
    </row>
    <row r="77" spans="1:6" s="60" customFormat="1" ht="30">
      <c r="A77" s="63">
        <v>6</v>
      </c>
      <c r="B77" s="61" t="s">
        <v>134</v>
      </c>
      <c r="C77" s="64" t="s">
        <v>135</v>
      </c>
      <c r="D77" s="66">
        <f t="shared" si="0"/>
        <v>3263.886895773356</v>
      </c>
      <c r="E77" s="66">
        <v>0.13482901633261274</v>
      </c>
      <c r="F77" s="59"/>
    </row>
    <row r="78" spans="1:6" s="60" customFormat="1" ht="60">
      <c r="A78" s="63">
        <v>7</v>
      </c>
      <c r="B78" s="65" t="s">
        <v>136</v>
      </c>
      <c r="C78" s="65" t="s">
        <v>137</v>
      </c>
      <c r="D78" s="66">
        <f t="shared" si="0"/>
        <v>17407.3967774579</v>
      </c>
      <c r="E78" s="66">
        <v>0.7190880871072679</v>
      </c>
      <c r="F78" s="59"/>
    </row>
    <row r="79" spans="1:6" s="60" customFormat="1" ht="15">
      <c r="A79" s="63">
        <v>8</v>
      </c>
      <c r="B79" s="64" t="s">
        <v>9</v>
      </c>
      <c r="C79" s="64" t="s">
        <v>139</v>
      </c>
      <c r="D79" s="66">
        <f t="shared" si="0"/>
        <v>6139.631949053915</v>
      </c>
      <c r="E79" s="67">
        <v>0.253624148988496</v>
      </c>
      <c r="F79" s="59"/>
    </row>
    <row r="80" spans="1:7" s="60" customFormat="1" ht="30">
      <c r="A80" s="63">
        <v>9</v>
      </c>
      <c r="B80" s="64" t="s">
        <v>140</v>
      </c>
      <c r="C80" s="64" t="s">
        <v>130</v>
      </c>
      <c r="D80" s="66">
        <f t="shared" si="0"/>
        <v>12581.130746270468</v>
      </c>
      <c r="E80" s="66">
        <v>0.5197182185045386</v>
      </c>
      <c r="F80" s="70"/>
      <c r="G80" s="71"/>
    </row>
    <row r="81" spans="1:7" s="60" customFormat="1" ht="15">
      <c r="A81" s="63">
        <v>10</v>
      </c>
      <c r="B81" s="64" t="s">
        <v>10</v>
      </c>
      <c r="C81" s="64" t="s">
        <v>7</v>
      </c>
      <c r="D81" s="66">
        <f t="shared" si="0"/>
        <v>150.6389210055907</v>
      </c>
      <c r="E81" s="66">
        <v>0.006222794535831339</v>
      </c>
      <c r="F81" s="70"/>
      <c r="G81" s="71"/>
    </row>
    <row r="82" spans="1:7" ht="15">
      <c r="A82" s="90" t="s">
        <v>156</v>
      </c>
      <c r="B82" s="91"/>
      <c r="C82" s="92"/>
      <c r="D82" s="17">
        <f>SUM(D83:D84)</f>
        <v>15442.050231403855</v>
      </c>
      <c r="E82" s="17">
        <f>SUM(E83:E84)</f>
        <v>0.6379009167122662</v>
      </c>
      <c r="F82" s="20"/>
      <c r="G82" s="19"/>
    </row>
    <row r="83" spans="1:7" ht="15.75" customHeight="1">
      <c r="A83" s="12">
        <v>11</v>
      </c>
      <c r="B83" s="7" t="s">
        <v>11</v>
      </c>
      <c r="C83" s="14" t="s">
        <v>12</v>
      </c>
      <c r="D83" s="66">
        <f>E83*$D$65*12</f>
        <v>14128.13378902457</v>
      </c>
      <c r="E83" s="21">
        <v>0.583623894521744</v>
      </c>
      <c r="F83" s="18"/>
      <c r="G83" s="19"/>
    </row>
    <row r="84" spans="1:7" ht="30">
      <c r="A84" s="12">
        <v>12</v>
      </c>
      <c r="B84" s="13" t="s">
        <v>13</v>
      </c>
      <c r="C84" s="13" t="s">
        <v>14</v>
      </c>
      <c r="D84" s="66">
        <f>E84*$D$65*12</f>
        <v>1313.9164423792852</v>
      </c>
      <c r="E84" s="21">
        <v>0.0542770221905222</v>
      </c>
      <c r="F84" s="18"/>
      <c r="G84" s="19"/>
    </row>
    <row r="85" spans="1:7" ht="29.25" customHeight="1">
      <c r="A85" s="90" t="s">
        <v>157</v>
      </c>
      <c r="B85" s="93"/>
      <c r="C85" s="94"/>
      <c r="D85" s="22">
        <f>SUM(D86:D89)</f>
        <v>26244.88350252322</v>
      </c>
      <c r="E85" s="22">
        <f>SUM(E86:E89)</f>
        <v>1.0841588386508045</v>
      </c>
      <c r="F85" s="18"/>
      <c r="G85" s="19"/>
    </row>
    <row r="86" spans="1:7" ht="29.25" customHeight="1">
      <c r="A86" s="63">
        <v>13</v>
      </c>
      <c r="B86" s="64" t="s">
        <v>15</v>
      </c>
      <c r="C86" s="64" t="s">
        <v>7</v>
      </c>
      <c r="D86" s="66">
        <f>E86*$D$65*12</f>
        <v>643.5031356988529</v>
      </c>
      <c r="E86" s="15">
        <v>0.026582690382311872</v>
      </c>
      <c r="F86" s="18"/>
      <c r="G86" s="19"/>
    </row>
    <row r="87" spans="1:7" ht="29.25" customHeight="1">
      <c r="A87" s="63">
        <v>14</v>
      </c>
      <c r="B87" s="64" t="s">
        <v>16</v>
      </c>
      <c r="C87" s="64" t="s">
        <v>7</v>
      </c>
      <c r="D87" s="66">
        <f>E87*$D$65*12</f>
        <v>1979.0374768057006</v>
      </c>
      <c r="E87" s="15">
        <v>0.08175273372022425</v>
      </c>
      <c r="F87" s="18"/>
      <c r="G87" s="19"/>
    </row>
    <row r="88" spans="1:7" ht="29.25" customHeight="1">
      <c r="A88" s="63">
        <v>15</v>
      </c>
      <c r="B88" s="64" t="s">
        <v>141</v>
      </c>
      <c r="C88" s="64" t="s">
        <v>7</v>
      </c>
      <c r="D88" s="66">
        <f>E88*$D$65*12</f>
        <v>886.8853522368483</v>
      </c>
      <c r="E88" s="15">
        <v>0.036636649326527555</v>
      </c>
      <c r="F88" s="18"/>
      <c r="G88" s="19"/>
    </row>
    <row r="89" spans="1:6" ht="91.5" customHeight="1">
      <c r="A89" s="63">
        <v>16</v>
      </c>
      <c r="B89" s="64" t="s">
        <v>17</v>
      </c>
      <c r="C89" s="64" t="s">
        <v>7</v>
      </c>
      <c r="D89" s="66">
        <f>E89*$D$65*12</f>
        <v>22735.457537781815</v>
      </c>
      <c r="E89" s="15">
        <v>0.9391867652217409</v>
      </c>
      <c r="F89" s="2"/>
    </row>
    <row r="90" spans="1:9" ht="15">
      <c r="A90" s="95" t="s">
        <v>142</v>
      </c>
      <c r="B90" s="96"/>
      <c r="C90" s="96"/>
      <c r="D90" s="11">
        <f>SUM(D91:D92)</f>
        <v>35990.99600060549</v>
      </c>
      <c r="E90" s="11">
        <f>SUM(E91:E92)</f>
        <v>1.4867643219734912</v>
      </c>
      <c r="F90" s="2"/>
      <c r="G90" s="51"/>
      <c r="H90" s="51"/>
      <c r="I90" s="52"/>
    </row>
    <row r="91" spans="1:9" ht="74.25" customHeight="1">
      <c r="A91" s="12">
        <v>17</v>
      </c>
      <c r="B91" s="64" t="s">
        <v>18</v>
      </c>
      <c r="C91" s="64" t="s">
        <v>7</v>
      </c>
      <c r="D91" s="66">
        <f>E91*$D$65*12</f>
        <v>1718.8114574985389</v>
      </c>
      <c r="E91" s="15">
        <f>0.00899906475844488+0.0620039036274562</f>
        <v>0.07100296838590107</v>
      </c>
      <c r="F91" s="2"/>
      <c r="G91" s="51"/>
      <c r="H91" s="51"/>
      <c r="I91" s="52"/>
    </row>
    <row r="92" spans="1:9" ht="104.25" customHeight="1">
      <c r="A92" s="12">
        <v>18</v>
      </c>
      <c r="B92" s="64" t="s">
        <v>19</v>
      </c>
      <c r="C92" s="64" t="s">
        <v>20</v>
      </c>
      <c r="D92" s="66">
        <f>E92*$D$65*12</f>
        <v>34272.18454310695</v>
      </c>
      <c r="E92" s="21">
        <f>1.30323823898759+0.1125231146</f>
        <v>1.4157613535875901</v>
      </c>
      <c r="F92" s="2"/>
      <c r="G92" s="54"/>
      <c r="H92" s="54"/>
      <c r="I92" s="54"/>
    </row>
    <row r="93" spans="1:9" ht="15">
      <c r="A93" s="95" t="s">
        <v>143</v>
      </c>
      <c r="B93" s="95"/>
      <c r="C93" s="95"/>
      <c r="D93" s="23">
        <f>SUM(D94)</f>
        <v>11546.64000000001</v>
      </c>
      <c r="E93" s="22">
        <f>SUM(E94)</f>
        <v>0.476984087641898</v>
      </c>
      <c r="F93" s="2"/>
      <c r="G93" s="54"/>
      <c r="H93" s="54"/>
      <c r="I93" s="54"/>
    </row>
    <row r="94" spans="1:6" ht="15">
      <c r="A94" s="12">
        <v>19</v>
      </c>
      <c r="B94" s="13" t="s">
        <v>21</v>
      </c>
      <c r="C94" s="13" t="s">
        <v>22</v>
      </c>
      <c r="D94" s="66">
        <f>E94*$D$65*12</f>
        <v>11546.64000000001</v>
      </c>
      <c r="E94" s="21">
        <v>0.476984087641898</v>
      </c>
      <c r="F94" s="2"/>
    </row>
    <row r="95" spans="1:6" ht="15">
      <c r="A95" s="100" t="s">
        <v>144</v>
      </c>
      <c r="B95" s="100"/>
      <c r="C95" s="100"/>
      <c r="D95" s="73">
        <f>SUM(D96:D98)</f>
        <v>2088.4885091501574</v>
      </c>
      <c r="E95" s="73">
        <f>SUM(E96:E98)</f>
        <v>0.08627408372371309</v>
      </c>
      <c r="F95" s="2"/>
    </row>
    <row r="96" spans="1:6" ht="30">
      <c r="A96" s="63">
        <v>20</v>
      </c>
      <c r="B96" s="64" t="s">
        <v>23</v>
      </c>
      <c r="C96" s="64" t="s">
        <v>14</v>
      </c>
      <c r="D96" s="66">
        <f>E96*$D$65*12</f>
        <v>1306.295797886689</v>
      </c>
      <c r="E96" s="72">
        <v>0.0539622183895425</v>
      </c>
      <c r="F96" s="2"/>
    </row>
    <row r="97" spans="1:6" ht="44.25" customHeight="1">
      <c r="A97" s="63">
        <v>21</v>
      </c>
      <c r="B97" s="64" t="s">
        <v>145</v>
      </c>
      <c r="C97" s="64" t="s">
        <v>146</v>
      </c>
      <c r="D97" s="66">
        <f>E97*$D$65*12</f>
        <v>242.07599999999996</v>
      </c>
      <c r="E97" s="66">
        <v>0.01</v>
      </c>
      <c r="F97" s="2"/>
    </row>
    <row r="98" spans="1:6" ht="15">
      <c r="A98" s="63">
        <v>22</v>
      </c>
      <c r="B98" s="64" t="s">
        <v>147</v>
      </c>
      <c r="C98" s="64" t="s">
        <v>7</v>
      </c>
      <c r="D98" s="66">
        <f>E98*$D$65*12</f>
        <v>540.1167112634682</v>
      </c>
      <c r="E98" s="72">
        <v>0.0223118653341706</v>
      </c>
      <c r="F98" s="2"/>
    </row>
    <row r="99" spans="1:6" ht="15">
      <c r="A99" s="8"/>
      <c r="B99" s="24" t="s">
        <v>24</v>
      </c>
      <c r="C99" s="24"/>
      <c r="D99" s="25">
        <f>D70+D75+D82+D85+D90+D93+D95</f>
        <v>150835.80197687921</v>
      </c>
      <c r="E99" s="17">
        <f>E70+E75+E82+E85+E90+E93+E95</f>
        <v>6.230927558984749</v>
      </c>
      <c r="F99" s="5"/>
    </row>
    <row r="100" spans="1:6" ht="6.75" customHeight="1">
      <c r="A100" s="26"/>
      <c r="B100" s="27"/>
      <c r="C100" s="28"/>
      <c r="D100" s="29"/>
      <c r="E100" s="30"/>
      <c r="F100" s="2"/>
    </row>
    <row r="101" spans="1:6" ht="6" customHeight="1">
      <c r="A101" s="26"/>
      <c r="B101" s="27"/>
      <c r="C101" s="28"/>
      <c r="D101" s="29"/>
      <c r="E101" s="30"/>
      <c r="F101" s="2"/>
    </row>
    <row r="102" spans="1:6" ht="105">
      <c r="A102" s="10" t="s">
        <v>25</v>
      </c>
      <c r="B102" s="10" t="s">
        <v>26</v>
      </c>
      <c r="C102" s="10" t="s">
        <v>27</v>
      </c>
      <c r="D102" s="10" t="s">
        <v>28</v>
      </c>
      <c r="E102" s="10" t="s">
        <v>29</v>
      </c>
      <c r="F102" s="10" t="s">
        <v>30</v>
      </c>
    </row>
    <row r="103" spans="1:6" ht="15">
      <c r="A103" s="10">
        <v>1</v>
      </c>
      <c r="B103" s="35" t="s">
        <v>165</v>
      </c>
      <c r="C103" s="10" t="s">
        <v>171</v>
      </c>
      <c r="D103" s="10">
        <v>6336</v>
      </c>
      <c r="E103" s="33">
        <f>D103/12/$D$65</f>
        <v>0.26173598374064344</v>
      </c>
      <c r="F103" s="34">
        <v>2</v>
      </c>
    </row>
    <row r="104" spans="1:6" ht="15">
      <c r="A104" s="10">
        <v>2</v>
      </c>
      <c r="B104" s="7" t="s">
        <v>158</v>
      </c>
      <c r="C104" s="10" t="s">
        <v>172</v>
      </c>
      <c r="D104" s="10">
        <v>19575</v>
      </c>
      <c r="E104" s="33">
        <f>D104/12/$D$65</f>
        <v>0.8086303474941754</v>
      </c>
      <c r="F104" s="34">
        <v>2</v>
      </c>
    </row>
    <row r="105" spans="1:6" ht="15">
      <c r="A105" s="10">
        <v>3</v>
      </c>
      <c r="B105" s="7" t="s">
        <v>159</v>
      </c>
      <c r="C105" s="10" t="s">
        <v>172</v>
      </c>
      <c r="D105" s="10">
        <v>18879</v>
      </c>
      <c r="E105" s="33">
        <f>D105/12/$D$65</f>
        <v>0.7798790462499381</v>
      </c>
      <c r="F105" s="34">
        <v>2</v>
      </c>
    </row>
    <row r="106" spans="1:6" ht="15">
      <c r="A106" s="10"/>
      <c r="B106" s="36" t="s">
        <v>31</v>
      </c>
      <c r="C106" s="9"/>
      <c r="D106" s="37">
        <f>SUM(D103:D105)</f>
        <v>44790</v>
      </c>
      <c r="E106" s="38">
        <f>SUM(E103:E105)</f>
        <v>1.850245377484757</v>
      </c>
      <c r="F106" s="39"/>
    </row>
    <row r="107" spans="1:6" ht="11.25" customHeight="1">
      <c r="A107" s="26"/>
      <c r="B107" s="27"/>
      <c r="C107" s="40"/>
      <c r="D107" s="40"/>
      <c r="E107" s="40"/>
      <c r="F107" s="40"/>
    </row>
    <row r="108" spans="1:6" ht="29.25">
      <c r="A108" s="26"/>
      <c r="B108" s="27" t="s">
        <v>32</v>
      </c>
      <c r="C108" s="41">
        <f>D99+D106</f>
        <v>195625.80197687921</v>
      </c>
      <c r="D108" s="41"/>
      <c r="E108" s="41"/>
      <c r="F108" s="40"/>
    </row>
    <row r="109" spans="1:6" ht="15">
      <c r="A109" s="26"/>
      <c r="B109" s="27" t="s">
        <v>33</v>
      </c>
      <c r="C109" s="42">
        <f>E99+E106</f>
        <v>8.081172936469505</v>
      </c>
      <c r="D109" s="40"/>
      <c r="E109" s="40"/>
      <c r="F109" s="40"/>
    </row>
    <row r="110" spans="1:6" ht="3" customHeight="1">
      <c r="A110" s="26"/>
      <c r="B110" s="27"/>
      <c r="C110" s="42"/>
      <c r="D110" s="40"/>
      <c r="E110" s="40"/>
      <c r="F110" s="40"/>
    </row>
    <row r="111" spans="1:6" ht="30.75" customHeight="1">
      <c r="A111" s="88" t="s">
        <v>111</v>
      </c>
      <c r="B111" s="88"/>
      <c r="C111" s="88"/>
      <c r="D111" s="88"/>
      <c r="E111" s="88"/>
      <c r="F111" s="88"/>
    </row>
    <row r="112" spans="1:6" ht="15">
      <c r="A112" s="1"/>
      <c r="B112" s="1"/>
      <c r="C112" s="1"/>
      <c r="D112" s="2"/>
      <c r="E112" s="2"/>
      <c r="F112" s="2"/>
    </row>
    <row r="113" spans="1:6" ht="85.5">
      <c r="A113" s="7"/>
      <c r="B113" s="8" t="s">
        <v>1</v>
      </c>
      <c r="C113" s="8" t="s">
        <v>2</v>
      </c>
      <c r="D113" s="8" t="s">
        <v>3</v>
      </c>
      <c r="E113" s="8" t="s">
        <v>4</v>
      </c>
      <c r="F113" s="2"/>
    </row>
    <row r="114" spans="1:5" ht="28.5" customHeight="1">
      <c r="A114" s="89" t="s">
        <v>123</v>
      </c>
      <c r="B114" s="89"/>
      <c r="C114" s="89"/>
      <c r="D114" s="17">
        <f>SUM(D115:D116)</f>
        <v>12900.854465686998</v>
      </c>
      <c r="E114" s="17">
        <f>SUM(E115:E116)</f>
        <v>0.532925794613551</v>
      </c>
    </row>
    <row r="115" spans="1:5" ht="30" customHeight="1">
      <c r="A115" s="63" t="s">
        <v>5</v>
      </c>
      <c r="B115" s="74" t="s">
        <v>126</v>
      </c>
      <c r="C115" s="74" t="s">
        <v>149</v>
      </c>
      <c r="D115" s="66">
        <f>E115*$D$65*12</f>
        <v>12658.778465686999</v>
      </c>
      <c r="E115" s="75">
        <f>3*E71/2</f>
        <v>0.522925794613551</v>
      </c>
    </row>
    <row r="116" spans="1:5" ht="30">
      <c r="A116" s="63" t="s">
        <v>34</v>
      </c>
      <c r="B116" s="43" t="s">
        <v>35</v>
      </c>
      <c r="C116" s="43" t="s">
        <v>42</v>
      </c>
      <c r="D116" s="66">
        <f>E116*$D$65*12</f>
        <v>242.07599999999996</v>
      </c>
      <c r="E116" s="44">
        <v>0.01</v>
      </c>
    </row>
    <row r="117" spans="1:5" ht="28.5" customHeight="1">
      <c r="A117" s="89" t="s">
        <v>102</v>
      </c>
      <c r="B117" s="89"/>
      <c r="C117" s="89"/>
      <c r="D117" s="17">
        <f>SUM(D118:D120)</f>
        <v>9322.716931356152</v>
      </c>
      <c r="E117" s="17">
        <f>SUM(E118:E120)</f>
        <v>0.3851152915347309</v>
      </c>
    </row>
    <row r="118" spans="1:5" ht="30" customHeight="1">
      <c r="A118" s="63" t="s">
        <v>151</v>
      </c>
      <c r="B118" s="74" t="s">
        <v>152</v>
      </c>
      <c r="C118" s="74" t="s">
        <v>153</v>
      </c>
      <c r="D118" s="66">
        <f>E118*$D$65*12</f>
        <v>484.15199999999993</v>
      </c>
      <c r="E118" s="75">
        <v>0.02</v>
      </c>
    </row>
    <row r="119" spans="1:5" ht="30" customHeight="1">
      <c r="A119" s="63" t="s">
        <v>154</v>
      </c>
      <c r="B119" s="76" t="s">
        <v>133</v>
      </c>
      <c r="C119" s="76" t="s">
        <v>155</v>
      </c>
      <c r="D119" s="66">
        <f>E119*$D$65*12</f>
        <v>6382.712151734586</v>
      </c>
      <c r="E119" s="75">
        <f>5*E76/2</f>
        <v>0.2636656319393325</v>
      </c>
    </row>
    <row r="120" spans="1:5" ht="30">
      <c r="A120" s="63" t="s">
        <v>128</v>
      </c>
      <c r="B120" s="77" t="s">
        <v>9</v>
      </c>
      <c r="C120" s="61" t="s">
        <v>150</v>
      </c>
      <c r="D120" s="66">
        <f>E120*$D$65*12</f>
        <v>2455.8527796215662</v>
      </c>
      <c r="E120" s="67">
        <f>2*E79/5</f>
        <v>0.1014496595953984</v>
      </c>
    </row>
    <row r="121" spans="1:6" ht="15">
      <c r="A121" s="8"/>
      <c r="B121" s="24" t="s">
        <v>24</v>
      </c>
      <c r="C121" s="24"/>
      <c r="D121" s="25">
        <f>D114+D117</f>
        <v>22223.57139704315</v>
      </c>
      <c r="E121" s="17">
        <f>E114+E117</f>
        <v>0.918041086148282</v>
      </c>
      <c r="F121" s="5"/>
    </row>
    <row r="122" spans="1:6" ht="15">
      <c r="A122" s="2"/>
      <c r="B122" s="2"/>
      <c r="C122" s="2"/>
      <c r="D122" s="2"/>
      <c r="E122" s="2"/>
      <c r="F122" s="2"/>
    </row>
    <row r="123" spans="1:6" ht="4.5" customHeight="1">
      <c r="A123" s="31"/>
      <c r="B123" s="31"/>
      <c r="C123" s="31"/>
      <c r="D123" s="31"/>
      <c r="E123" s="31"/>
      <c r="F123" s="32"/>
    </row>
    <row r="124" spans="1:6" ht="105">
      <c r="A124" s="10" t="s">
        <v>25</v>
      </c>
      <c r="B124" s="10" t="s">
        <v>26</v>
      </c>
      <c r="C124" s="10" t="s">
        <v>27</v>
      </c>
      <c r="D124" s="10" t="s">
        <v>28</v>
      </c>
      <c r="E124" s="10" t="s">
        <v>36</v>
      </c>
      <c r="F124" s="10" t="s">
        <v>30</v>
      </c>
    </row>
    <row r="125" spans="1:6" ht="15">
      <c r="A125" s="10">
        <v>1</v>
      </c>
      <c r="B125" s="35" t="s">
        <v>165</v>
      </c>
      <c r="C125" s="10" t="s">
        <v>168</v>
      </c>
      <c r="D125" s="10">
        <v>17280</v>
      </c>
      <c r="E125" s="33">
        <f>D125/12/$D$65</f>
        <v>0.7138254102017548</v>
      </c>
      <c r="F125" s="34">
        <v>2</v>
      </c>
    </row>
    <row r="126" spans="1:6" ht="15">
      <c r="A126" s="10">
        <v>2</v>
      </c>
      <c r="B126" s="7" t="s">
        <v>158</v>
      </c>
      <c r="C126" s="10" t="s">
        <v>169</v>
      </c>
      <c r="D126" s="10">
        <v>16875</v>
      </c>
      <c r="E126" s="33">
        <f>D126/12/$D$65</f>
        <v>0.6970951271501512</v>
      </c>
      <c r="F126" s="34">
        <v>2</v>
      </c>
    </row>
    <row r="127" spans="1:6" ht="15">
      <c r="A127" s="10">
        <v>3</v>
      </c>
      <c r="B127" s="7" t="s">
        <v>159</v>
      </c>
      <c r="C127" s="10" t="s">
        <v>169</v>
      </c>
      <c r="D127" s="10">
        <v>16275</v>
      </c>
      <c r="E127" s="33">
        <f>D127/12/$D$65</f>
        <v>0.6723095226292569</v>
      </c>
      <c r="F127" s="34">
        <v>2</v>
      </c>
    </row>
    <row r="128" spans="1:6" ht="15">
      <c r="A128" s="47"/>
      <c r="B128" s="47" t="s">
        <v>31</v>
      </c>
      <c r="C128" s="47"/>
      <c r="D128" s="48">
        <f>SUM(D125:D127)</f>
        <v>50430</v>
      </c>
      <c r="E128" s="49">
        <f>SUM(E125:E127)</f>
        <v>2.083230059981163</v>
      </c>
      <c r="F128" s="47"/>
    </row>
    <row r="131" spans="2:3" ht="43.5">
      <c r="B131" s="27" t="s">
        <v>98</v>
      </c>
      <c r="C131" s="58">
        <f>C42+C108</f>
        <v>398825.83372108394</v>
      </c>
    </row>
  </sheetData>
  <mergeCells count="22">
    <mergeCell ref="A28:C28"/>
    <mergeCell ref="A45:F45"/>
    <mergeCell ref="A48:C48"/>
    <mergeCell ref="A117:C117"/>
    <mergeCell ref="A93:C93"/>
    <mergeCell ref="A95:C95"/>
    <mergeCell ref="A111:F111"/>
    <mergeCell ref="A114:C114"/>
    <mergeCell ref="A30:C30"/>
    <mergeCell ref="A67:E67"/>
    <mergeCell ref="A70:C70"/>
    <mergeCell ref="A51:C51"/>
    <mergeCell ref="A75:C75"/>
    <mergeCell ref="A82:C82"/>
    <mergeCell ref="A85:C85"/>
    <mergeCell ref="A90:C90"/>
    <mergeCell ref="A4:E4"/>
    <mergeCell ref="A17:C17"/>
    <mergeCell ref="A20:C20"/>
    <mergeCell ref="A25:C25"/>
    <mergeCell ref="A7:C7"/>
    <mergeCell ref="A11:C11"/>
  </mergeCells>
  <printOptions/>
  <pageMargins left="0.7874015748031497" right="0.2362204724409449" top="0.5905511811023623" bottom="0.4724409448818898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131"/>
  <sheetViews>
    <sheetView workbookViewId="0" topLeftCell="A102">
      <selection activeCell="C131" sqref="C131"/>
    </sheetView>
  </sheetViews>
  <sheetFormatPr defaultColWidth="9.140625" defaultRowHeight="12.75"/>
  <cols>
    <col min="1" max="1" width="3.421875" style="3" customWidth="1"/>
    <col min="2" max="2" width="40.8515625" style="3" customWidth="1"/>
    <col min="3" max="3" width="17.421875" style="3" customWidth="1"/>
    <col min="4" max="4" width="11.28125" style="3" customWidth="1"/>
    <col min="5" max="5" width="11.8515625" style="3" customWidth="1"/>
    <col min="6" max="6" width="8.57421875" style="3" customWidth="1"/>
    <col min="7" max="16384" width="9.140625" style="3" customWidth="1"/>
  </cols>
  <sheetData>
    <row r="1" ht="15">
      <c r="B1" s="56" t="s">
        <v>73</v>
      </c>
    </row>
    <row r="2" spans="1:6" ht="24" customHeight="1">
      <c r="A2" s="2"/>
      <c r="B2" s="1" t="s">
        <v>173</v>
      </c>
      <c r="C2" s="4"/>
      <c r="D2" s="50">
        <v>2905.8</v>
      </c>
      <c r="E2" s="5" t="s">
        <v>0</v>
      </c>
      <c r="F2" s="2"/>
    </row>
    <row r="3" spans="1:6" ht="9" customHeight="1">
      <c r="A3" s="2"/>
      <c r="B3" s="6"/>
      <c r="C3" s="2"/>
      <c r="D3" s="2"/>
      <c r="E3" s="2"/>
      <c r="F3" s="2"/>
    </row>
    <row r="4" spans="1:6" ht="28.5" customHeight="1">
      <c r="A4" s="88" t="s">
        <v>109</v>
      </c>
      <c r="B4" s="88"/>
      <c r="C4" s="88"/>
      <c r="D4" s="88"/>
      <c r="E4" s="88"/>
      <c r="F4" s="2"/>
    </row>
    <row r="5" spans="1:6" ht="15">
      <c r="A5" s="1"/>
      <c r="B5" s="1"/>
      <c r="C5" s="1"/>
      <c r="D5" s="1"/>
      <c r="E5" s="1"/>
      <c r="F5" s="2"/>
    </row>
    <row r="6" spans="1:6" ht="85.5">
      <c r="A6" s="7"/>
      <c r="B6" s="8" t="s">
        <v>1</v>
      </c>
      <c r="C6" s="8" t="s">
        <v>2</v>
      </c>
      <c r="D6" s="8" t="s">
        <v>3</v>
      </c>
      <c r="E6" s="8" t="s">
        <v>4</v>
      </c>
      <c r="F6" s="2"/>
    </row>
    <row r="7" spans="1:6" s="60" customFormat="1" ht="15">
      <c r="A7" s="100" t="s">
        <v>125</v>
      </c>
      <c r="B7" s="101"/>
      <c r="C7" s="101"/>
      <c r="D7" s="62">
        <f>SUM(D8:D10)</f>
        <v>24938.245927583346</v>
      </c>
      <c r="E7" s="62">
        <f>SUM(E8:E10)</f>
        <v>0.7151858905058661</v>
      </c>
      <c r="F7" s="59"/>
    </row>
    <row r="8" spans="1:6" s="60" customFormat="1" ht="30">
      <c r="A8" s="63">
        <v>1</v>
      </c>
      <c r="B8" s="64" t="s">
        <v>126</v>
      </c>
      <c r="C8" s="65" t="s">
        <v>6</v>
      </c>
      <c r="D8" s="66">
        <f>E8*$D$2*12</f>
        <v>12156.142191904451</v>
      </c>
      <c r="E8" s="67">
        <v>0.348617196409034</v>
      </c>
      <c r="F8" s="59"/>
    </row>
    <row r="9" spans="1:6" s="60" customFormat="1" ht="15">
      <c r="A9" s="63">
        <v>2</v>
      </c>
      <c r="B9" s="64" t="s">
        <v>129</v>
      </c>
      <c r="C9" s="64" t="s">
        <v>127</v>
      </c>
      <c r="D9" s="66">
        <f>E9*$D$2*12</f>
        <v>12156.142191904451</v>
      </c>
      <c r="E9" s="67">
        <v>0.348617196409034</v>
      </c>
      <c r="F9" s="59"/>
    </row>
    <row r="10" spans="1:6" s="60" customFormat="1" ht="30">
      <c r="A10" s="63">
        <v>3</v>
      </c>
      <c r="B10" s="64" t="s">
        <v>131</v>
      </c>
      <c r="C10" s="64" t="s">
        <v>130</v>
      </c>
      <c r="D10" s="66">
        <f>E10*$D$2*12</f>
        <v>625.961543774444</v>
      </c>
      <c r="E10" s="67">
        <f>0.00209183484100008+0.015859662846798</f>
        <v>0.01795149768779808</v>
      </c>
      <c r="F10" s="59"/>
    </row>
    <row r="11" spans="1:6" s="60" customFormat="1" ht="30.75" customHeight="1">
      <c r="A11" s="89" t="s">
        <v>102</v>
      </c>
      <c r="B11" s="89"/>
      <c r="C11" s="89"/>
      <c r="D11" s="68">
        <f>SUM(D12:D19)</f>
        <v>58104.68801249933</v>
      </c>
      <c r="E11" s="68">
        <f>SUM(E12:E19)</f>
        <v>1.6663422583711693</v>
      </c>
      <c r="F11" s="69"/>
    </row>
    <row r="12" spans="1:6" s="60" customFormat="1" ht="30">
      <c r="A12" s="63">
        <v>4</v>
      </c>
      <c r="B12" s="61" t="s">
        <v>133</v>
      </c>
      <c r="C12" s="65" t="s">
        <v>6</v>
      </c>
      <c r="D12" s="66">
        <f aca="true" t="shared" si="0" ref="D12:D19">E12*$D$2*12</f>
        <v>3466.472978959288</v>
      </c>
      <c r="E12" s="67">
        <v>0.0994124675637027</v>
      </c>
      <c r="F12" s="59"/>
    </row>
    <row r="13" spans="1:6" s="60" customFormat="1" ht="15">
      <c r="A13" s="63">
        <v>5</v>
      </c>
      <c r="B13" s="61" t="s">
        <v>8</v>
      </c>
      <c r="C13" s="65" t="s">
        <v>6</v>
      </c>
      <c r="D13" s="66">
        <f t="shared" si="0"/>
        <v>2226.245979820519</v>
      </c>
      <c r="E13" s="67">
        <v>0.0638448958353557</v>
      </c>
      <c r="F13" s="59"/>
    </row>
    <row r="14" spans="1:6" s="60" customFormat="1" ht="30">
      <c r="A14" s="63">
        <v>6</v>
      </c>
      <c r="B14" s="61" t="s">
        <v>134</v>
      </c>
      <c r="C14" s="64" t="s">
        <v>135</v>
      </c>
      <c r="D14" s="66">
        <f t="shared" si="0"/>
        <v>4317.334528340203</v>
      </c>
      <c r="E14" s="66">
        <v>0.12381370960206609</v>
      </c>
      <c r="F14" s="59"/>
    </row>
    <row r="15" spans="1:6" s="60" customFormat="1" ht="60">
      <c r="A15" s="63">
        <v>7</v>
      </c>
      <c r="B15" s="65" t="s">
        <v>136</v>
      </c>
      <c r="C15" s="65" t="s">
        <v>137</v>
      </c>
      <c r="D15" s="66">
        <f t="shared" si="0"/>
        <v>23025.784151147753</v>
      </c>
      <c r="E15" s="66">
        <v>0.6603397845443524</v>
      </c>
      <c r="F15" s="59"/>
    </row>
    <row r="16" spans="1:6" s="60" customFormat="1" ht="15">
      <c r="A16" s="63">
        <v>8</v>
      </c>
      <c r="B16" s="64" t="s">
        <v>138</v>
      </c>
      <c r="C16" s="64" t="s">
        <v>130</v>
      </c>
      <c r="D16" s="66">
        <f t="shared" si="0"/>
        <v>310.69113806021596</v>
      </c>
      <c r="E16" s="66">
        <v>0.008910086093910339</v>
      </c>
      <c r="F16" s="59"/>
    </row>
    <row r="17" spans="1:6" s="60" customFormat="1" ht="15">
      <c r="A17" s="63">
        <v>9</v>
      </c>
      <c r="B17" s="64" t="s">
        <v>9</v>
      </c>
      <c r="C17" s="64" t="s">
        <v>139</v>
      </c>
      <c r="D17" s="66">
        <f t="shared" si="0"/>
        <v>5925.039331597063</v>
      </c>
      <c r="E17" s="67">
        <v>0.16991991108579</v>
      </c>
      <c r="F17" s="59"/>
    </row>
    <row r="18" spans="1:7" s="60" customFormat="1" ht="15" customHeight="1">
      <c r="A18" s="63">
        <v>10</v>
      </c>
      <c r="B18" s="64" t="s">
        <v>140</v>
      </c>
      <c r="C18" s="64" t="s">
        <v>130</v>
      </c>
      <c r="D18" s="66">
        <f t="shared" si="0"/>
        <v>18645.676561886088</v>
      </c>
      <c r="E18" s="66">
        <v>0.534725851798876</v>
      </c>
      <c r="F18" s="70"/>
      <c r="G18" s="71"/>
    </row>
    <row r="19" spans="1:7" s="60" customFormat="1" ht="15" customHeight="1">
      <c r="A19" s="63">
        <v>11</v>
      </c>
      <c r="B19" s="64" t="s">
        <v>10</v>
      </c>
      <c r="C19" s="64" t="s">
        <v>7</v>
      </c>
      <c r="D19" s="66">
        <f t="shared" si="0"/>
        <v>187.44334268819713</v>
      </c>
      <c r="E19" s="66">
        <v>0.00537555184711603</v>
      </c>
      <c r="F19" s="70"/>
      <c r="G19" s="71"/>
    </row>
    <row r="20" spans="1:7" ht="15">
      <c r="A20" s="90" t="s">
        <v>156</v>
      </c>
      <c r="B20" s="91"/>
      <c r="C20" s="92"/>
      <c r="D20" s="17">
        <f>SUM(D21:D22)</f>
        <v>32027.95603550428</v>
      </c>
      <c r="E20" s="17">
        <f>SUM(E21:E22)</f>
        <v>0.918506551136356</v>
      </c>
      <c r="F20" s="20"/>
      <c r="G20" s="19"/>
    </row>
    <row r="21" spans="1:7" ht="15.75" customHeight="1">
      <c r="A21" s="12">
        <v>9</v>
      </c>
      <c r="B21" s="7" t="s">
        <v>11</v>
      </c>
      <c r="C21" s="14" t="s">
        <v>12</v>
      </c>
      <c r="D21" s="15">
        <f>E21*$D$2*12</f>
        <v>29302.796006865767</v>
      </c>
      <c r="E21" s="21">
        <v>0.840353660692</v>
      </c>
      <c r="F21" s="18"/>
      <c r="G21" s="19"/>
    </row>
    <row r="22" spans="1:7" ht="30">
      <c r="A22" s="12">
        <v>10</v>
      </c>
      <c r="B22" s="13" t="s">
        <v>13</v>
      </c>
      <c r="C22" s="13" t="s">
        <v>14</v>
      </c>
      <c r="D22" s="15">
        <f>E22*$D$2*12</f>
        <v>2725.160028638516</v>
      </c>
      <c r="E22" s="21">
        <v>0.078152890444356</v>
      </c>
      <c r="F22" s="18"/>
      <c r="G22" s="19"/>
    </row>
    <row r="23" spans="1:7" ht="29.25" customHeight="1">
      <c r="A23" s="90" t="s">
        <v>157</v>
      </c>
      <c r="B23" s="93"/>
      <c r="C23" s="94"/>
      <c r="D23" s="22">
        <f>SUM(D24:D27)</f>
        <v>38035.94746007555</v>
      </c>
      <c r="E23" s="22">
        <f>SUM(E24:E27)</f>
        <v>1.090805385208765</v>
      </c>
      <c r="F23" s="18"/>
      <c r="G23" s="19"/>
    </row>
    <row r="24" spans="1:7" ht="29.25" customHeight="1">
      <c r="A24" s="63">
        <v>11</v>
      </c>
      <c r="B24" s="64" t="s">
        <v>15</v>
      </c>
      <c r="C24" s="64" t="s">
        <v>7</v>
      </c>
      <c r="D24" s="15">
        <f>E24*12*$D$2</f>
        <v>514.8025085590824</v>
      </c>
      <c r="E24" s="15">
        <v>0.014763648236833299</v>
      </c>
      <c r="F24" s="18"/>
      <c r="G24" s="19"/>
    </row>
    <row r="25" spans="1:7" ht="29.25" customHeight="1">
      <c r="A25" s="63">
        <v>12</v>
      </c>
      <c r="B25" s="64" t="s">
        <v>16</v>
      </c>
      <c r="C25" s="64" t="s">
        <v>7</v>
      </c>
      <c r="D25" s="15">
        <f>E25*12*$D$2</f>
        <v>3267.964207733804</v>
      </c>
      <c r="E25" s="15">
        <v>0.09371957830700105</v>
      </c>
      <c r="F25" s="18"/>
      <c r="G25" s="19"/>
    </row>
    <row r="26" spans="1:7" ht="29.25" customHeight="1">
      <c r="A26" s="63">
        <v>13</v>
      </c>
      <c r="B26" s="64" t="s">
        <v>141</v>
      </c>
      <c r="C26" s="64" t="s">
        <v>7</v>
      </c>
      <c r="D26" s="15">
        <f>E26*12*$D$2</f>
        <v>1612.5188222488148</v>
      </c>
      <c r="E26" s="15">
        <v>0.04624425924727599</v>
      </c>
      <c r="F26" s="18"/>
      <c r="G26" s="19"/>
    </row>
    <row r="27" spans="1:6" ht="91.5" customHeight="1">
      <c r="A27" s="63">
        <v>14</v>
      </c>
      <c r="B27" s="64" t="s">
        <v>17</v>
      </c>
      <c r="C27" s="64" t="s">
        <v>7</v>
      </c>
      <c r="D27" s="15">
        <f>E27*12*$D$2</f>
        <v>32640.66192153385</v>
      </c>
      <c r="E27" s="15">
        <v>0.9360778994176546</v>
      </c>
      <c r="F27" s="2"/>
    </row>
    <row r="28" spans="1:9" ht="15">
      <c r="A28" s="95" t="s">
        <v>142</v>
      </c>
      <c r="B28" s="96"/>
      <c r="C28" s="96"/>
      <c r="D28" s="11">
        <f>SUM(D29:D30)</f>
        <v>52366.715191683164</v>
      </c>
      <c r="E28" s="11">
        <f>SUM(E29:E30)</f>
        <v>1.5017870922431906</v>
      </c>
      <c r="F28" s="2"/>
      <c r="G28" s="51"/>
      <c r="H28" s="51"/>
      <c r="I28" s="52"/>
    </row>
    <row r="29" spans="1:9" ht="74.25" customHeight="1">
      <c r="A29" s="12">
        <v>15</v>
      </c>
      <c r="B29" s="64" t="s">
        <v>18</v>
      </c>
      <c r="C29" s="64" t="s">
        <v>7</v>
      </c>
      <c r="D29" s="15">
        <f>E29*12*$D$2</f>
        <v>2647.5334901509177</v>
      </c>
      <c r="E29" s="15">
        <f>0.00834098686284119+0.0675857083143595</f>
        <v>0.0759266951772007</v>
      </c>
      <c r="F29" s="2"/>
      <c r="G29" s="51"/>
      <c r="H29" s="51"/>
      <c r="I29" s="52"/>
    </row>
    <row r="30" spans="1:9" ht="104.25" customHeight="1">
      <c r="A30" s="12">
        <v>16</v>
      </c>
      <c r="B30" s="64" t="s">
        <v>19</v>
      </c>
      <c r="C30" s="64" t="s">
        <v>20</v>
      </c>
      <c r="D30" s="15">
        <f>E30*12*$D$2</f>
        <v>49719.181701532245</v>
      </c>
      <c r="E30" s="21">
        <f>1.31333728246599+0.1125231146</f>
        <v>1.42586039706599</v>
      </c>
      <c r="F30" s="2"/>
      <c r="G30" s="54"/>
      <c r="H30" s="54"/>
      <c r="I30" s="54"/>
    </row>
    <row r="31" spans="1:9" ht="15">
      <c r="A31" s="95" t="s">
        <v>143</v>
      </c>
      <c r="B31" s="95"/>
      <c r="C31" s="95"/>
      <c r="D31" s="23">
        <f>SUM(D32)</f>
        <v>9792.719999999987</v>
      </c>
      <c r="E31" s="22">
        <f>SUM(E32)</f>
        <v>0.280838323353293</v>
      </c>
      <c r="F31" s="2"/>
      <c r="G31" s="54"/>
      <c r="H31" s="54"/>
      <c r="I31" s="54"/>
    </row>
    <row r="32" spans="1:6" ht="15">
      <c r="A32" s="12">
        <v>17</v>
      </c>
      <c r="B32" s="13" t="s">
        <v>21</v>
      </c>
      <c r="C32" s="13" t="s">
        <v>22</v>
      </c>
      <c r="D32" s="15">
        <f>E32*12*$D$2</f>
        <v>9792.719999999987</v>
      </c>
      <c r="E32" s="21">
        <v>0.280838323353293</v>
      </c>
      <c r="F32" s="2"/>
    </row>
    <row r="33" spans="1:6" ht="15">
      <c r="A33" s="100" t="s">
        <v>144</v>
      </c>
      <c r="B33" s="100"/>
      <c r="C33" s="100"/>
      <c r="D33" s="73">
        <f>SUM(D34:D35)</f>
        <v>2351.555679309084</v>
      </c>
      <c r="E33" s="73">
        <f>SUM(E34:E35)</f>
        <v>0.0674385619367324</v>
      </c>
      <c r="F33" s="2"/>
    </row>
    <row r="34" spans="1:6" ht="30">
      <c r="A34" s="63">
        <v>18</v>
      </c>
      <c r="B34" s="64" t="s">
        <v>23</v>
      </c>
      <c r="C34" s="64" t="s">
        <v>14</v>
      </c>
      <c r="D34" s="15">
        <f>E34*12*$D$2</f>
        <v>2002.859679309084</v>
      </c>
      <c r="E34" s="72">
        <v>0.0574385619367324</v>
      </c>
      <c r="F34" s="2"/>
    </row>
    <row r="35" spans="1:6" ht="44.25" customHeight="1">
      <c r="A35" s="63">
        <v>19</v>
      </c>
      <c r="B35" s="64" t="s">
        <v>145</v>
      </c>
      <c r="C35" s="64" t="s">
        <v>146</v>
      </c>
      <c r="D35" s="15">
        <f>E35*12*$D$2</f>
        <v>348.696</v>
      </c>
      <c r="E35" s="66">
        <v>0.01</v>
      </c>
      <c r="F35" s="2"/>
    </row>
    <row r="36" spans="1:6" ht="15">
      <c r="A36" s="8"/>
      <c r="B36" s="24" t="s">
        <v>24</v>
      </c>
      <c r="C36" s="24"/>
      <c r="D36" s="25">
        <f>D7+D11+D20+D23+D28+D31+D33</f>
        <v>217617.82830665473</v>
      </c>
      <c r="E36" s="17">
        <f>E7+E11+E20+E23+E28+E31+E33</f>
        <v>6.240904062755372</v>
      </c>
      <c r="F36" s="5"/>
    </row>
    <row r="37" spans="1:6" ht="4.5" customHeight="1">
      <c r="A37" s="26"/>
      <c r="B37" s="27"/>
      <c r="C37" s="28"/>
      <c r="D37" s="29"/>
      <c r="E37" s="30"/>
      <c r="F37" s="2"/>
    </row>
    <row r="38" spans="1:6" ht="5.25" customHeight="1">
      <c r="A38" s="26"/>
      <c r="B38" s="27"/>
      <c r="C38" s="28"/>
      <c r="D38" s="29"/>
      <c r="E38" s="30"/>
      <c r="F38" s="2"/>
    </row>
    <row r="39" spans="1:6" ht="105">
      <c r="A39" s="10" t="s">
        <v>25</v>
      </c>
      <c r="B39" s="10" t="s">
        <v>26</v>
      </c>
      <c r="C39" s="10" t="s">
        <v>27</v>
      </c>
      <c r="D39" s="10" t="s">
        <v>28</v>
      </c>
      <c r="E39" s="10" t="s">
        <v>29</v>
      </c>
      <c r="F39" s="10" t="s">
        <v>30</v>
      </c>
    </row>
    <row r="40" spans="1:6" ht="30">
      <c r="A40" s="10">
        <v>1</v>
      </c>
      <c r="B40" s="7" t="s">
        <v>174</v>
      </c>
      <c r="C40" s="10" t="s">
        <v>175</v>
      </c>
      <c r="D40" s="10">
        <v>12644</v>
      </c>
      <c r="E40" s="33">
        <f>D40/12/$D$2</f>
        <v>0.36260811709913504</v>
      </c>
      <c r="F40" s="34">
        <v>2</v>
      </c>
    </row>
    <row r="41" spans="1:6" ht="15">
      <c r="A41" s="10">
        <v>2</v>
      </c>
      <c r="B41" s="7" t="s">
        <v>158</v>
      </c>
      <c r="C41" s="10" t="s">
        <v>176</v>
      </c>
      <c r="D41" s="10">
        <v>27000</v>
      </c>
      <c r="E41" s="33">
        <f>D41/12/$D$2</f>
        <v>0.7743134420813544</v>
      </c>
      <c r="F41" s="34">
        <v>2</v>
      </c>
    </row>
    <row r="42" spans="1:6" ht="15">
      <c r="A42" s="10">
        <v>3</v>
      </c>
      <c r="B42" s="7" t="s">
        <v>159</v>
      </c>
      <c r="C42" s="10" t="s">
        <v>177</v>
      </c>
      <c r="D42" s="10">
        <v>24738</v>
      </c>
      <c r="E42" s="33">
        <f>D42/12/$D$2</f>
        <v>0.7094431826003166</v>
      </c>
      <c r="F42" s="34">
        <v>2</v>
      </c>
    </row>
    <row r="43" spans="1:6" ht="15">
      <c r="A43" s="10"/>
      <c r="B43" s="36" t="s">
        <v>31</v>
      </c>
      <c r="C43" s="9"/>
      <c r="D43" s="37">
        <f>SUM(D40:D42)</f>
        <v>64382</v>
      </c>
      <c r="E43" s="38">
        <f>SUM(E40:E42)</f>
        <v>1.846364741780806</v>
      </c>
      <c r="F43" s="39"/>
    </row>
    <row r="44" spans="1:6" ht="7.5" customHeight="1">
      <c r="A44" s="26"/>
      <c r="B44" s="27"/>
      <c r="C44" s="40"/>
      <c r="D44" s="40"/>
      <c r="E44" s="40"/>
      <c r="F44" s="40"/>
    </row>
    <row r="45" spans="1:6" ht="29.25">
      <c r="A45" s="26"/>
      <c r="B45" s="27" t="s">
        <v>32</v>
      </c>
      <c r="C45" s="41">
        <f>D36+D43</f>
        <v>281999.8283066547</v>
      </c>
      <c r="D45" s="41"/>
      <c r="E45" s="41"/>
      <c r="F45" s="40"/>
    </row>
    <row r="46" spans="1:6" ht="15">
      <c r="A46" s="26"/>
      <c r="B46" s="27" t="s">
        <v>33</v>
      </c>
      <c r="C46" s="42">
        <f>E36+E43</f>
        <v>8.087268804536178</v>
      </c>
      <c r="D46" s="40"/>
      <c r="E46" s="40"/>
      <c r="F46" s="40"/>
    </row>
    <row r="47" spans="1:6" ht="7.5" customHeight="1">
      <c r="A47" s="26"/>
      <c r="B47" s="27"/>
      <c r="C47" s="42"/>
      <c r="D47" s="40"/>
      <c r="E47" s="40"/>
      <c r="F47" s="40"/>
    </row>
    <row r="48" spans="1:6" ht="30.75" customHeight="1">
      <c r="A48" s="88" t="s">
        <v>111</v>
      </c>
      <c r="B48" s="88"/>
      <c r="C48" s="88"/>
      <c r="D48" s="88"/>
      <c r="E48" s="88"/>
      <c r="F48" s="88"/>
    </row>
    <row r="49" spans="1:6" ht="6" customHeight="1">
      <c r="A49" s="1"/>
      <c r="B49" s="1"/>
      <c r="C49" s="1"/>
      <c r="D49" s="2"/>
      <c r="E49" s="2"/>
      <c r="F49" s="2"/>
    </row>
    <row r="50" spans="1:6" ht="85.5">
      <c r="A50" s="7"/>
      <c r="B50" s="8" t="s">
        <v>1</v>
      </c>
      <c r="C50" s="8" t="s">
        <v>2</v>
      </c>
      <c r="D50" s="8" t="s">
        <v>3</v>
      </c>
      <c r="E50" s="8" t="s">
        <v>4</v>
      </c>
      <c r="F50" s="2"/>
    </row>
    <row r="51" spans="1:5" ht="30" customHeight="1">
      <c r="A51" s="89" t="s">
        <v>123</v>
      </c>
      <c r="B51" s="89"/>
      <c r="C51" s="89"/>
      <c r="D51" s="17">
        <f>SUM(D52:D53)</f>
        <v>18582.90928785668</v>
      </c>
      <c r="E51" s="17">
        <f>SUM(E52:E53)</f>
        <v>0.532925794613551</v>
      </c>
    </row>
    <row r="52" spans="1:5" ht="30" customHeight="1">
      <c r="A52" s="63" t="s">
        <v>5</v>
      </c>
      <c r="B52" s="74" t="s">
        <v>126</v>
      </c>
      <c r="C52" s="74" t="s">
        <v>149</v>
      </c>
      <c r="D52" s="15">
        <f>E52*12*$D$2</f>
        <v>18234.21328785668</v>
      </c>
      <c r="E52" s="75">
        <f>3*E8/2</f>
        <v>0.522925794613551</v>
      </c>
    </row>
    <row r="53" spans="1:5" ht="30">
      <c r="A53" s="63" t="s">
        <v>34</v>
      </c>
      <c r="B53" s="43" t="s">
        <v>35</v>
      </c>
      <c r="C53" s="43" t="s">
        <v>42</v>
      </c>
      <c r="D53" s="15">
        <f>E53*12*$D$2</f>
        <v>348.696</v>
      </c>
      <c r="E53" s="44">
        <v>0.01</v>
      </c>
    </row>
    <row r="54" spans="1:5" ht="30" customHeight="1">
      <c r="A54" s="89" t="s">
        <v>102</v>
      </c>
      <c r="B54" s="89"/>
      <c r="C54" s="89"/>
      <c r="D54" s="17">
        <f>SUM(D55:D57)</f>
        <v>11733.590180037045</v>
      </c>
      <c r="E54" s="17">
        <f>SUM(E55:E57)</f>
        <v>0.33649913334357273</v>
      </c>
    </row>
    <row r="55" spans="1:5" ht="30" customHeight="1">
      <c r="A55" s="63" t="s">
        <v>151</v>
      </c>
      <c r="B55" s="74" t="s">
        <v>152</v>
      </c>
      <c r="C55" s="74" t="s">
        <v>153</v>
      </c>
      <c r="D55" s="15">
        <f>E55*$D$2*12</f>
        <v>697.392</v>
      </c>
      <c r="E55" s="75">
        <v>0.02</v>
      </c>
    </row>
    <row r="56" spans="1:5" ht="30" customHeight="1">
      <c r="A56" s="63" t="s">
        <v>154</v>
      </c>
      <c r="B56" s="76" t="s">
        <v>133</v>
      </c>
      <c r="C56" s="76" t="s">
        <v>155</v>
      </c>
      <c r="D56" s="15">
        <f>E56*$D$2*12</f>
        <v>8666.18244739822</v>
      </c>
      <c r="E56" s="75">
        <f>5*E12/2</f>
        <v>0.24853116890925675</v>
      </c>
    </row>
    <row r="57" spans="1:5" ht="30">
      <c r="A57" s="63" t="s">
        <v>128</v>
      </c>
      <c r="B57" s="77" t="s">
        <v>9</v>
      </c>
      <c r="C57" s="61" t="s">
        <v>150</v>
      </c>
      <c r="D57" s="15">
        <f>E57*$D$2*12</f>
        <v>2370.015732638825</v>
      </c>
      <c r="E57" s="67">
        <f>2*E17/5</f>
        <v>0.06796796443431599</v>
      </c>
    </row>
    <row r="58" spans="1:6" ht="15">
      <c r="A58" s="8"/>
      <c r="B58" s="24" t="s">
        <v>24</v>
      </c>
      <c r="C58" s="24"/>
      <c r="D58" s="25">
        <f>D51+D54</f>
        <v>30316.499467893726</v>
      </c>
      <c r="E58" s="17">
        <f>E51+E54</f>
        <v>0.8694249279571238</v>
      </c>
      <c r="F58" s="5"/>
    </row>
    <row r="59" spans="1:6" ht="5.25" customHeight="1">
      <c r="A59" s="2"/>
      <c r="B59" s="2"/>
      <c r="C59" s="2"/>
      <c r="D59" s="2"/>
      <c r="E59" s="2"/>
      <c r="F59" s="2"/>
    </row>
    <row r="60" spans="1:6" ht="7.5" customHeight="1">
      <c r="A60" s="31"/>
      <c r="B60" s="31"/>
      <c r="C60" s="31"/>
      <c r="D60" s="31"/>
      <c r="E60" s="31"/>
      <c r="F60" s="32"/>
    </row>
    <row r="61" spans="1:6" ht="105">
      <c r="A61" s="10" t="s">
        <v>25</v>
      </c>
      <c r="B61" s="10" t="s">
        <v>26</v>
      </c>
      <c r="C61" s="10" t="s">
        <v>27</v>
      </c>
      <c r="D61" s="10" t="s">
        <v>28</v>
      </c>
      <c r="E61" s="10" t="s">
        <v>36</v>
      </c>
      <c r="F61" s="10" t="s">
        <v>30</v>
      </c>
    </row>
    <row r="62" spans="1:6" ht="30">
      <c r="A62" s="10">
        <v>1</v>
      </c>
      <c r="B62" s="7" t="s">
        <v>174</v>
      </c>
      <c r="C62" s="10" t="s">
        <v>175</v>
      </c>
      <c r="D62" s="10">
        <v>12644</v>
      </c>
      <c r="E62" s="46">
        <f>D62/12/$D$2</f>
        <v>0.36260811709913504</v>
      </c>
      <c r="F62" s="34">
        <v>2</v>
      </c>
    </row>
    <row r="63" spans="1:6" ht="15">
      <c r="A63" s="10">
        <v>2</v>
      </c>
      <c r="B63" s="7" t="s">
        <v>158</v>
      </c>
      <c r="C63" s="10" t="s">
        <v>176</v>
      </c>
      <c r="D63" s="10">
        <v>27000</v>
      </c>
      <c r="E63" s="46">
        <f>D63/12/$D$2</f>
        <v>0.7743134420813544</v>
      </c>
      <c r="F63" s="34">
        <v>2</v>
      </c>
    </row>
    <row r="64" spans="1:6" ht="15">
      <c r="A64" s="10">
        <v>3</v>
      </c>
      <c r="B64" s="7" t="s">
        <v>159</v>
      </c>
      <c r="C64" s="10" t="s">
        <v>177</v>
      </c>
      <c r="D64" s="10">
        <v>24738</v>
      </c>
      <c r="E64" s="46">
        <f>D64/12/$D$2</f>
        <v>0.7094431826003166</v>
      </c>
      <c r="F64" s="34">
        <v>2</v>
      </c>
    </row>
    <row r="65" spans="1:6" ht="15">
      <c r="A65" s="47"/>
      <c r="B65" s="47" t="s">
        <v>31</v>
      </c>
      <c r="C65" s="47"/>
      <c r="D65" s="48">
        <f>SUM(D62:D64)</f>
        <v>64382</v>
      </c>
      <c r="E65" s="49">
        <f>SUM(E62:E64)</f>
        <v>1.846364741780806</v>
      </c>
      <c r="F65" s="47"/>
    </row>
    <row r="68" spans="1:6" ht="20.25" customHeight="1">
      <c r="A68" s="2"/>
      <c r="B68" s="1" t="s">
        <v>178</v>
      </c>
      <c r="C68" s="4"/>
      <c r="D68" s="50">
        <v>2869</v>
      </c>
      <c r="E68" s="5" t="s">
        <v>0</v>
      </c>
      <c r="F68" s="2"/>
    </row>
    <row r="69" spans="1:6" ht="6" customHeight="1">
      <c r="A69" s="2"/>
      <c r="B69" s="6"/>
      <c r="C69" s="2"/>
      <c r="D69" s="2"/>
      <c r="E69" s="2"/>
      <c r="F69" s="2"/>
    </row>
    <row r="70" spans="1:6" ht="32.25" customHeight="1">
      <c r="A70" s="88" t="s">
        <v>109</v>
      </c>
      <c r="B70" s="88"/>
      <c r="C70" s="88"/>
      <c r="D70" s="88"/>
      <c r="E70" s="88"/>
      <c r="F70" s="2"/>
    </row>
    <row r="71" spans="1:6" ht="15">
      <c r="A71" s="1"/>
      <c r="B71" s="1"/>
      <c r="C71" s="1"/>
      <c r="D71" s="1"/>
      <c r="E71" s="1"/>
      <c r="F71" s="2"/>
    </row>
    <row r="72" spans="1:6" ht="85.5">
      <c r="A72" s="7"/>
      <c r="B72" s="8" t="s">
        <v>1</v>
      </c>
      <c r="C72" s="8" t="s">
        <v>2</v>
      </c>
      <c r="D72" s="8" t="s">
        <v>3</v>
      </c>
      <c r="E72" s="8" t="s">
        <v>4</v>
      </c>
      <c r="F72" s="2"/>
    </row>
    <row r="73" spans="1:6" s="60" customFormat="1" ht="15">
      <c r="A73" s="100" t="s">
        <v>125</v>
      </c>
      <c r="B73" s="101"/>
      <c r="C73" s="101"/>
      <c r="D73" s="62">
        <f>SUM(D74:D76)</f>
        <v>24630.347219714888</v>
      </c>
      <c r="E73" s="62">
        <f>SUM(E74:E76)</f>
        <v>0.7154161502182784</v>
      </c>
      <c r="F73" s="59"/>
    </row>
    <row r="74" spans="1:6" s="60" customFormat="1" ht="30">
      <c r="A74" s="63">
        <v>1</v>
      </c>
      <c r="B74" s="64" t="s">
        <v>126</v>
      </c>
      <c r="C74" s="65" t="s">
        <v>6</v>
      </c>
      <c r="D74" s="66">
        <f>E74*$D$68*12</f>
        <v>12002.192837970222</v>
      </c>
      <c r="E74" s="67">
        <v>0.348617196409034</v>
      </c>
      <c r="F74" s="59"/>
    </row>
    <row r="75" spans="1:6" s="60" customFormat="1" ht="15">
      <c r="A75" s="63">
        <v>2</v>
      </c>
      <c r="B75" s="64" t="s">
        <v>129</v>
      </c>
      <c r="C75" s="64" t="s">
        <v>127</v>
      </c>
      <c r="D75" s="66">
        <f>E75*$D$68*12</f>
        <v>12002.192837970222</v>
      </c>
      <c r="E75" s="67">
        <v>0.348617196409034</v>
      </c>
      <c r="F75" s="59"/>
    </row>
    <row r="76" spans="1:6" s="60" customFormat="1" ht="30">
      <c r="A76" s="63">
        <v>3</v>
      </c>
      <c r="B76" s="64" t="s">
        <v>131</v>
      </c>
      <c r="C76" s="64" t="s">
        <v>130</v>
      </c>
      <c r="D76" s="66">
        <f>E76*$D$68*12</f>
        <v>625.9615437744451</v>
      </c>
      <c r="E76" s="67">
        <f>0.00211866632310144+0.016063091077109</f>
        <v>0.01818175740021044</v>
      </c>
      <c r="F76" s="59"/>
    </row>
    <row r="77" spans="1:6" s="60" customFormat="1" ht="30.75" customHeight="1">
      <c r="A77" s="89" t="s">
        <v>102</v>
      </c>
      <c r="B77" s="89"/>
      <c r="C77" s="89"/>
      <c r="D77" s="68">
        <f>SUM(D78:D82)</f>
        <v>58543.42440610651</v>
      </c>
      <c r="E77" s="68">
        <f>SUM(E78:E82)</f>
        <v>1.7004596376817274</v>
      </c>
      <c r="F77" s="69"/>
    </row>
    <row r="78" spans="1:6" s="60" customFormat="1" ht="30">
      <c r="A78" s="63">
        <v>4</v>
      </c>
      <c r="B78" s="61" t="s">
        <v>133</v>
      </c>
      <c r="C78" s="65" t="s">
        <v>6</v>
      </c>
      <c r="D78" s="66">
        <f>E78*$D$68*12</f>
        <v>4269.8143359879405</v>
      </c>
      <c r="E78" s="67">
        <v>0.124021561984081</v>
      </c>
      <c r="F78" s="59"/>
    </row>
    <row r="79" spans="1:6" s="60" customFormat="1" ht="30">
      <c r="A79" s="63">
        <v>5</v>
      </c>
      <c r="B79" s="61" t="s">
        <v>134</v>
      </c>
      <c r="C79" s="64" t="s">
        <v>135</v>
      </c>
      <c r="D79" s="66">
        <f>E79*$D$68*12</f>
        <v>5262.736249874555</v>
      </c>
      <c r="E79" s="66">
        <v>0.15286209625521538</v>
      </c>
      <c r="F79" s="59"/>
    </row>
    <row r="80" spans="1:6" s="60" customFormat="1" ht="60">
      <c r="A80" s="63">
        <v>6</v>
      </c>
      <c r="B80" s="65" t="s">
        <v>136</v>
      </c>
      <c r="C80" s="65" t="s">
        <v>137</v>
      </c>
      <c r="D80" s="66">
        <f>E80*$D$68*12</f>
        <v>28067.926665997627</v>
      </c>
      <c r="E80" s="66">
        <v>0.8152645133611487</v>
      </c>
      <c r="F80" s="59"/>
    </row>
    <row r="81" spans="1:6" s="60" customFormat="1" ht="15">
      <c r="A81" s="63">
        <v>7</v>
      </c>
      <c r="B81" s="64" t="s">
        <v>9</v>
      </c>
      <c r="C81" s="64" t="s">
        <v>139</v>
      </c>
      <c r="D81" s="66">
        <f>E81*$D$68*12</f>
        <v>6138.02087740087</v>
      </c>
      <c r="E81" s="67">
        <v>0.178285723173024</v>
      </c>
      <c r="F81" s="59"/>
    </row>
    <row r="82" spans="1:7" s="60" customFormat="1" ht="30">
      <c r="A82" s="63">
        <v>8</v>
      </c>
      <c r="B82" s="64" t="s">
        <v>140</v>
      </c>
      <c r="C82" s="64" t="s">
        <v>130</v>
      </c>
      <c r="D82" s="66">
        <f>E82*$D$68*12</f>
        <v>14804.926276845516</v>
      </c>
      <c r="E82" s="66">
        <v>0.43002574290825823</v>
      </c>
      <c r="F82" s="70"/>
      <c r="G82" s="71"/>
    </row>
    <row r="83" spans="1:7" ht="15">
      <c r="A83" s="90" t="s">
        <v>156</v>
      </c>
      <c r="B83" s="91"/>
      <c r="C83" s="92"/>
      <c r="D83" s="17">
        <f>SUM(D84:D85)</f>
        <v>29188.502790339822</v>
      </c>
      <c r="E83" s="17">
        <f>SUM(E84:E85)</f>
        <v>0.847812907817469</v>
      </c>
      <c r="F83" s="20"/>
      <c r="G83" s="19"/>
    </row>
    <row r="84" spans="1:7" ht="15.75" customHeight="1">
      <c r="A84" s="12">
        <v>9</v>
      </c>
      <c r="B84" s="7" t="s">
        <v>11</v>
      </c>
      <c r="C84" s="14" t="s">
        <v>12</v>
      </c>
      <c r="D84" s="66">
        <f>E84*$D$68*12</f>
        <v>26704.943083567996</v>
      </c>
      <c r="E84" s="21">
        <v>0.77567512151644</v>
      </c>
      <c r="F84" s="18"/>
      <c r="G84" s="19"/>
    </row>
    <row r="85" spans="1:7" ht="30">
      <c r="A85" s="12">
        <v>10</v>
      </c>
      <c r="B85" s="13" t="s">
        <v>13</v>
      </c>
      <c r="C85" s="13" t="s">
        <v>14</v>
      </c>
      <c r="D85" s="66">
        <f>E85*$D$68*12</f>
        <v>2483.5597067718263</v>
      </c>
      <c r="E85" s="21">
        <v>0.072137786301029</v>
      </c>
      <c r="F85" s="18"/>
      <c r="G85" s="19"/>
    </row>
    <row r="86" spans="1:7" ht="29.25" customHeight="1">
      <c r="A86" s="90" t="s">
        <v>157</v>
      </c>
      <c r="B86" s="93"/>
      <c r="C86" s="94"/>
      <c r="D86" s="22">
        <f>SUM(D87:D90)</f>
        <v>37882.34879702817</v>
      </c>
      <c r="E86" s="22">
        <f>SUM(E87:E90)</f>
        <v>1.1003354478049312</v>
      </c>
      <c r="F86" s="18"/>
      <c r="G86" s="19"/>
    </row>
    <row r="87" spans="1:7" ht="29.25" customHeight="1">
      <c r="A87" s="63">
        <v>11</v>
      </c>
      <c r="B87" s="64" t="s">
        <v>15</v>
      </c>
      <c r="C87" s="64" t="s">
        <v>7</v>
      </c>
      <c r="D87" s="66">
        <f>E87*$D$68*12</f>
        <v>643.5031356988529</v>
      </c>
      <c r="E87" s="15">
        <v>0.01869127267627666</v>
      </c>
      <c r="F87" s="18"/>
      <c r="G87" s="19"/>
    </row>
    <row r="88" spans="1:7" ht="29.25" customHeight="1">
      <c r="A88" s="63">
        <v>12</v>
      </c>
      <c r="B88" s="64" t="s">
        <v>16</v>
      </c>
      <c r="C88" s="64" t="s">
        <v>7</v>
      </c>
      <c r="D88" s="66">
        <f>E88*$D$68*12</f>
        <v>3460.7061779252235</v>
      </c>
      <c r="E88" s="15">
        <v>0.10052010508670918</v>
      </c>
      <c r="F88" s="18"/>
      <c r="G88" s="19"/>
    </row>
    <row r="89" spans="1:7" ht="29.25" customHeight="1">
      <c r="A89" s="63">
        <v>13</v>
      </c>
      <c r="B89" s="64" t="s">
        <v>141</v>
      </c>
      <c r="C89" s="64" t="s">
        <v>7</v>
      </c>
      <c r="D89" s="66">
        <f>E89*$D$68*12</f>
        <v>1612.518822248815</v>
      </c>
      <c r="E89" s="15">
        <v>0.04683742367400997</v>
      </c>
      <c r="F89" s="18"/>
      <c r="G89" s="19"/>
    </row>
    <row r="90" spans="1:6" ht="91.5" customHeight="1">
      <c r="A90" s="63">
        <v>14</v>
      </c>
      <c r="B90" s="64" t="s">
        <v>17</v>
      </c>
      <c r="C90" s="64" t="s">
        <v>7</v>
      </c>
      <c r="D90" s="66">
        <f>E90*$D$68*12</f>
        <v>32165.620661155277</v>
      </c>
      <c r="E90" s="15">
        <v>0.9342866463679353</v>
      </c>
      <c r="F90" s="2"/>
    </row>
    <row r="91" spans="1:9" ht="15">
      <c r="A91" s="95" t="s">
        <v>142</v>
      </c>
      <c r="B91" s="96"/>
      <c r="C91" s="96"/>
      <c r="D91" s="11">
        <f>SUM(D92:D93)</f>
        <v>51701.08071723268</v>
      </c>
      <c r="E91" s="11">
        <f>SUM(E92:E93)</f>
        <v>1.5017160659124167</v>
      </c>
      <c r="F91" s="2"/>
      <c r="G91" s="51"/>
      <c r="H91" s="51"/>
      <c r="I91" s="52"/>
    </row>
    <row r="92" spans="1:9" ht="74.25" customHeight="1">
      <c r="A92" s="12">
        <v>15</v>
      </c>
      <c r="B92" s="64" t="s">
        <v>18</v>
      </c>
      <c r="C92" s="64" t="s">
        <v>7</v>
      </c>
      <c r="D92" s="66">
        <f>E92*$D$68*12</f>
        <v>2618.724247851802</v>
      </c>
      <c r="E92" s="15">
        <f>0.00823246085631915+0.0678313316338575</f>
        <v>0.07606379249017665</v>
      </c>
      <c r="F92" s="2"/>
      <c r="G92" s="51"/>
      <c r="H92" s="51"/>
      <c r="I92" s="52"/>
    </row>
    <row r="93" spans="1:9" ht="104.25" customHeight="1">
      <c r="A93" s="12">
        <v>16</v>
      </c>
      <c r="B93" s="64" t="s">
        <v>19</v>
      </c>
      <c r="C93" s="64" t="s">
        <v>20</v>
      </c>
      <c r="D93" s="66">
        <f>E93*$D$68*12</f>
        <v>49082.35646938088</v>
      </c>
      <c r="E93" s="21">
        <f>1.31312915882224+0.1125231146</f>
        <v>1.42565227342224</v>
      </c>
      <c r="F93" s="2"/>
      <c r="G93" s="54"/>
      <c r="H93" s="54"/>
      <c r="I93" s="54"/>
    </row>
    <row r="94" spans="1:9" ht="15">
      <c r="A94" s="95" t="s">
        <v>143</v>
      </c>
      <c r="B94" s="95"/>
      <c r="C94" s="95"/>
      <c r="D94" s="23">
        <f>SUM(D95)</f>
        <v>9646.559999999996</v>
      </c>
      <c r="E94" s="22">
        <f>SUM(E95)</f>
        <v>0.280195189961659</v>
      </c>
      <c r="F94" s="2"/>
      <c r="G94" s="54"/>
      <c r="H94" s="54"/>
      <c r="I94" s="54"/>
    </row>
    <row r="95" spans="1:6" ht="15">
      <c r="A95" s="12">
        <v>17</v>
      </c>
      <c r="B95" s="13" t="s">
        <v>21</v>
      </c>
      <c r="C95" s="13" t="s">
        <v>22</v>
      </c>
      <c r="D95" s="66">
        <f>E95*$D$68*12</f>
        <v>9646.559999999996</v>
      </c>
      <c r="E95" s="21">
        <v>0.280195189961659</v>
      </c>
      <c r="F95" s="2"/>
    </row>
    <row r="96" spans="1:6" ht="15">
      <c r="A96" s="100" t="s">
        <v>144</v>
      </c>
      <c r="B96" s="100"/>
      <c r="C96" s="100"/>
      <c r="D96" s="73">
        <f>SUM(D97:D98)</f>
        <v>2299.858408964267</v>
      </c>
      <c r="E96" s="73">
        <f>SUM(E97:E98)</f>
        <v>0.066801975396894</v>
      </c>
      <c r="F96" s="2"/>
    </row>
    <row r="97" spans="1:6" ht="30">
      <c r="A97" s="63">
        <v>18</v>
      </c>
      <c r="B97" s="64" t="s">
        <v>23</v>
      </c>
      <c r="C97" s="64" t="s">
        <v>14</v>
      </c>
      <c r="D97" s="66">
        <f>E97*$D$68*12</f>
        <v>1955.5784089642666</v>
      </c>
      <c r="E97" s="72">
        <v>0.056801975396894</v>
      </c>
      <c r="F97" s="2"/>
    </row>
    <row r="98" spans="1:6" ht="44.25" customHeight="1">
      <c r="A98" s="63">
        <v>19</v>
      </c>
      <c r="B98" s="64" t="s">
        <v>145</v>
      </c>
      <c r="C98" s="64" t="s">
        <v>146</v>
      </c>
      <c r="D98" s="66">
        <f>E98*$D$68*12</f>
        <v>344.28000000000003</v>
      </c>
      <c r="E98" s="66">
        <v>0.01</v>
      </c>
      <c r="F98" s="2"/>
    </row>
    <row r="99" spans="1:6" ht="15">
      <c r="A99" s="8"/>
      <c r="B99" s="24" t="s">
        <v>24</v>
      </c>
      <c r="C99" s="24"/>
      <c r="D99" s="25">
        <f>D73+D77+D83+D86+D91+D94+D96</f>
        <v>213892.12233938632</v>
      </c>
      <c r="E99" s="17">
        <f>E73+E77+E83+E86+E91+E94+E96</f>
        <v>6.212737374793376</v>
      </c>
      <c r="F99" s="5"/>
    </row>
    <row r="100" spans="1:6" ht="6.75" customHeight="1">
      <c r="A100" s="26"/>
      <c r="B100" s="27"/>
      <c r="C100" s="28"/>
      <c r="D100" s="29"/>
      <c r="E100" s="30"/>
      <c r="F100" s="2"/>
    </row>
    <row r="101" spans="1:6" ht="6" customHeight="1">
      <c r="A101" s="26"/>
      <c r="B101" s="27"/>
      <c r="C101" s="28"/>
      <c r="D101" s="29"/>
      <c r="E101" s="30"/>
      <c r="F101" s="2"/>
    </row>
    <row r="102" spans="1:6" ht="105">
      <c r="A102" s="10" t="s">
        <v>25</v>
      </c>
      <c r="B102" s="10" t="s">
        <v>26</v>
      </c>
      <c r="C102" s="10" t="s">
        <v>27</v>
      </c>
      <c r="D102" s="10" t="s">
        <v>28</v>
      </c>
      <c r="E102" s="10" t="s">
        <v>29</v>
      </c>
      <c r="F102" s="10" t="s">
        <v>30</v>
      </c>
    </row>
    <row r="103" spans="1:6" ht="30">
      <c r="A103" s="10">
        <v>1</v>
      </c>
      <c r="B103" s="35" t="s">
        <v>174</v>
      </c>
      <c r="C103" s="10" t="s">
        <v>175</v>
      </c>
      <c r="D103" s="10">
        <v>12644</v>
      </c>
      <c r="E103" s="33">
        <f>D103/12/$D$68</f>
        <v>0.3672592076217033</v>
      </c>
      <c r="F103" s="34">
        <v>2</v>
      </c>
    </row>
    <row r="104" spans="1:6" ht="15">
      <c r="A104" s="10">
        <v>2</v>
      </c>
      <c r="B104" s="7" t="s">
        <v>158</v>
      </c>
      <c r="C104" s="10" t="s">
        <v>179</v>
      </c>
      <c r="D104" s="10">
        <v>26325</v>
      </c>
      <c r="E104" s="33">
        <f>D104/12/$D$68</f>
        <v>0.7646392471244337</v>
      </c>
      <c r="F104" s="34">
        <v>2</v>
      </c>
    </row>
    <row r="105" spans="1:6" ht="15">
      <c r="A105" s="10">
        <v>3</v>
      </c>
      <c r="B105" s="7" t="s">
        <v>159</v>
      </c>
      <c r="C105" s="10" t="s">
        <v>177</v>
      </c>
      <c r="D105" s="10">
        <v>24738</v>
      </c>
      <c r="E105" s="33">
        <f>D105/12/$D$68</f>
        <v>0.7185430463576159</v>
      </c>
      <c r="F105" s="34">
        <v>2</v>
      </c>
    </row>
    <row r="106" spans="1:6" ht="15">
      <c r="A106" s="10"/>
      <c r="B106" s="36" t="s">
        <v>31</v>
      </c>
      <c r="C106" s="9"/>
      <c r="D106" s="37">
        <f>SUM(D103:D105)</f>
        <v>63707</v>
      </c>
      <c r="E106" s="38">
        <f>SUM(E103:E105)</f>
        <v>1.8504415011037527</v>
      </c>
      <c r="F106" s="39"/>
    </row>
    <row r="107" spans="1:6" ht="15">
      <c r="A107" s="26"/>
      <c r="B107" s="27"/>
      <c r="C107" s="40"/>
      <c r="D107" s="40"/>
      <c r="E107" s="40"/>
      <c r="F107" s="40"/>
    </row>
    <row r="108" spans="1:6" ht="29.25">
      <c r="A108" s="26"/>
      <c r="B108" s="27" t="s">
        <v>32</v>
      </c>
      <c r="C108" s="41">
        <f>D99+D106</f>
        <v>277599.1223393863</v>
      </c>
      <c r="D108" s="41"/>
      <c r="E108" s="41"/>
      <c r="F108" s="40"/>
    </row>
    <row r="109" spans="1:6" ht="15">
      <c r="A109" s="26"/>
      <c r="B109" s="27" t="s">
        <v>33</v>
      </c>
      <c r="C109" s="42">
        <f>E99+E106</f>
        <v>8.063178875897128</v>
      </c>
      <c r="D109" s="40"/>
      <c r="E109" s="40"/>
      <c r="F109" s="40"/>
    </row>
    <row r="110" spans="1:6" ht="15">
      <c r="A110" s="26"/>
      <c r="B110" s="27"/>
      <c r="C110" s="42"/>
      <c r="D110" s="40"/>
      <c r="E110" s="40"/>
      <c r="F110" s="40"/>
    </row>
    <row r="111" spans="1:6" ht="30.75" customHeight="1">
      <c r="A111" s="88" t="s">
        <v>111</v>
      </c>
      <c r="B111" s="88"/>
      <c r="C111" s="88"/>
      <c r="D111" s="88"/>
      <c r="E111" s="88"/>
      <c r="F111" s="88"/>
    </row>
    <row r="112" spans="1:6" ht="15">
      <c r="A112" s="1"/>
      <c r="B112" s="1"/>
      <c r="C112" s="1"/>
      <c r="D112" s="2"/>
      <c r="E112" s="2"/>
      <c r="F112" s="2"/>
    </row>
    <row r="113" spans="1:6" ht="85.5">
      <c r="A113" s="7"/>
      <c r="B113" s="8" t="s">
        <v>1</v>
      </c>
      <c r="C113" s="8" t="s">
        <v>2</v>
      </c>
      <c r="D113" s="8" t="s">
        <v>3</v>
      </c>
      <c r="E113" s="8" t="s">
        <v>4</v>
      </c>
      <c r="F113" s="2"/>
    </row>
    <row r="114" spans="1:5" ht="28.5" customHeight="1">
      <c r="A114" s="89" t="s">
        <v>123</v>
      </c>
      <c r="B114" s="89"/>
      <c r="C114" s="89"/>
      <c r="D114" s="17">
        <f>SUM(D115:D116)</f>
        <v>18347.569256955336</v>
      </c>
      <c r="E114" s="17">
        <f>SUM(E115:E116)</f>
        <v>0.532925794613551</v>
      </c>
    </row>
    <row r="115" spans="1:5" ht="30" customHeight="1">
      <c r="A115" s="63" t="s">
        <v>5</v>
      </c>
      <c r="B115" s="74" t="s">
        <v>126</v>
      </c>
      <c r="C115" s="74" t="s">
        <v>149</v>
      </c>
      <c r="D115" s="66">
        <f>E115*$D$68*12</f>
        <v>18003.289256955337</v>
      </c>
      <c r="E115" s="75">
        <f>3*E74/2</f>
        <v>0.522925794613551</v>
      </c>
    </row>
    <row r="116" spans="1:5" ht="30">
      <c r="A116" s="63" t="s">
        <v>34</v>
      </c>
      <c r="B116" s="43" t="s">
        <v>35</v>
      </c>
      <c r="C116" s="43" t="s">
        <v>42</v>
      </c>
      <c r="D116" s="66">
        <f>E116*$D$68*12</f>
        <v>344.28000000000003</v>
      </c>
      <c r="E116" s="44">
        <v>0.01</v>
      </c>
    </row>
    <row r="117" spans="1:5" ht="28.5" customHeight="1">
      <c r="A117" s="89" t="s">
        <v>102</v>
      </c>
      <c r="B117" s="89"/>
      <c r="C117" s="89"/>
      <c r="D117" s="17">
        <f>SUM(D118:D120)</f>
        <v>13818.304190930201</v>
      </c>
      <c r="E117" s="17">
        <f>SUM(E118:E120)</f>
        <v>0.40136819422941217</v>
      </c>
    </row>
    <row r="118" spans="1:5" ht="30" customHeight="1">
      <c r="A118" s="63" t="s">
        <v>151</v>
      </c>
      <c r="B118" s="74" t="s">
        <v>152</v>
      </c>
      <c r="C118" s="74" t="s">
        <v>153</v>
      </c>
      <c r="D118" s="66">
        <f>E118*$D$68*12</f>
        <v>688.5600000000001</v>
      </c>
      <c r="E118" s="75">
        <v>0.02</v>
      </c>
    </row>
    <row r="119" spans="1:5" ht="30" customHeight="1">
      <c r="A119" s="63" t="s">
        <v>154</v>
      </c>
      <c r="B119" s="76" t="s">
        <v>133</v>
      </c>
      <c r="C119" s="76" t="s">
        <v>155</v>
      </c>
      <c r="D119" s="66">
        <f>E119*$D$68*12</f>
        <v>10674.535839969853</v>
      </c>
      <c r="E119" s="75">
        <f>5*E78/2</f>
        <v>0.3100539049602025</v>
      </c>
    </row>
    <row r="120" spans="1:5" ht="30">
      <c r="A120" s="63" t="s">
        <v>128</v>
      </c>
      <c r="B120" s="77" t="s">
        <v>9</v>
      </c>
      <c r="C120" s="61" t="s">
        <v>150</v>
      </c>
      <c r="D120" s="66">
        <f>E120*$D$68*12</f>
        <v>2455.208350960348</v>
      </c>
      <c r="E120" s="67">
        <f>2*E81/5</f>
        <v>0.0713142892692096</v>
      </c>
    </row>
    <row r="121" spans="1:6" ht="15">
      <c r="A121" s="8"/>
      <c r="B121" s="24" t="s">
        <v>24</v>
      </c>
      <c r="C121" s="24"/>
      <c r="D121" s="25">
        <f>D114+D117</f>
        <v>32165.873447885537</v>
      </c>
      <c r="E121" s="17">
        <f>E114+E117</f>
        <v>0.9342939888429632</v>
      </c>
      <c r="F121" s="5"/>
    </row>
    <row r="122" spans="1:6" ht="15">
      <c r="A122" s="2"/>
      <c r="B122" s="2"/>
      <c r="C122" s="2"/>
      <c r="D122" s="2"/>
      <c r="E122" s="2"/>
      <c r="F122" s="2"/>
    </row>
    <row r="123" spans="1:6" ht="15">
      <c r="A123" s="31"/>
      <c r="B123" s="31"/>
      <c r="C123" s="31"/>
      <c r="D123" s="31"/>
      <c r="E123" s="31"/>
      <c r="F123" s="32"/>
    </row>
    <row r="124" spans="1:6" ht="105">
      <c r="A124" s="10" t="s">
        <v>25</v>
      </c>
      <c r="B124" s="10" t="s">
        <v>26</v>
      </c>
      <c r="C124" s="10" t="s">
        <v>27</v>
      </c>
      <c r="D124" s="10" t="s">
        <v>28</v>
      </c>
      <c r="E124" s="10" t="s">
        <v>36</v>
      </c>
      <c r="F124" s="10" t="s">
        <v>30</v>
      </c>
    </row>
    <row r="125" spans="1:6" ht="30">
      <c r="A125" s="10">
        <v>1</v>
      </c>
      <c r="B125" s="35" t="s">
        <v>174</v>
      </c>
      <c r="C125" s="10" t="s">
        <v>175</v>
      </c>
      <c r="D125" s="10">
        <v>12644</v>
      </c>
      <c r="E125" s="33">
        <f>D125/12/$D$68</f>
        <v>0.3672592076217033</v>
      </c>
      <c r="F125" s="34">
        <v>2</v>
      </c>
    </row>
    <row r="126" spans="1:6" ht="15">
      <c r="A126" s="10">
        <v>2</v>
      </c>
      <c r="B126" s="7" t="s">
        <v>158</v>
      </c>
      <c r="C126" s="10" t="s">
        <v>179</v>
      </c>
      <c r="D126" s="10">
        <v>26325</v>
      </c>
      <c r="E126" s="33">
        <f>D126/12/$D$68</f>
        <v>0.7646392471244337</v>
      </c>
      <c r="F126" s="34">
        <v>2</v>
      </c>
    </row>
    <row r="127" spans="1:6" ht="15">
      <c r="A127" s="10">
        <v>3</v>
      </c>
      <c r="B127" s="7" t="s">
        <v>159</v>
      </c>
      <c r="C127" s="10" t="s">
        <v>177</v>
      </c>
      <c r="D127" s="10">
        <v>24738</v>
      </c>
      <c r="E127" s="33">
        <f>D127/12/$D$68</f>
        <v>0.7185430463576159</v>
      </c>
      <c r="F127" s="34">
        <v>2</v>
      </c>
    </row>
    <row r="128" spans="1:6" ht="15">
      <c r="A128" s="47"/>
      <c r="B128" s="47" t="s">
        <v>31</v>
      </c>
      <c r="C128" s="47"/>
      <c r="D128" s="48">
        <f>SUM(D125:D127)</f>
        <v>63707</v>
      </c>
      <c r="E128" s="49">
        <f>SUM(E125:E127)</f>
        <v>1.8504415011037527</v>
      </c>
      <c r="F128" s="47"/>
    </row>
    <row r="131" spans="2:3" ht="43.5">
      <c r="B131" s="27" t="s">
        <v>99</v>
      </c>
      <c r="C131" s="58">
        <f>C45+C108</f>
        <v>559598.950646041</v>
      </c>
    </row>
  </sheetData>
  <mergeCells count="22">
    <mergeCell ref="A86:C86"/>
    <mergeCell ref="A91:C91"/>
    <mergeCell ref="A4:E4"/>
    <mergeCell ref="A20:C20"/>
    <mergeCell ref="A23:C23"/>
    <mergeCell ref="A28:C28"/>
    <mergeCell ref="A7:C7"/>
    <mergeCell ref="A11:C11"/>
    <mergeCell ref="A73:C73"/>
    <mergeCell ref="A54:C54"/>
    <mergeCell ref="A77:C77"/>
    <mergeCell ref="A83:C83"/>
    <mergeCell ref="A31:C31"/>
    <mergeCell ref="A48:F48"/>
    <mergeCell ref="A51:C51"/>
    <mergeCell ref="A117:C117"/>
    <mergeCell ref="A94:C94"/>
    <mergeCell ref="A96:C96"/>
    <mergeCell ref="A111:F111"/>
    <mergeCell ref="A114:C114"/>
    <mergeCell ref="A33:C33"/>
    <mergeCell ref="A70:E70"/>
  </mergeCells>
  <printOptions/>
  <pageMargins left="0.7874015748031497" right="0.2362204724409449" top="0.5905511811023623" bottom="0.5905511811023623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33">
      <selection activeCell="C64" sqref="C64"/>
    </sheetView>
  </sheetViews>
  <sheetFormatPr defaultColWidth="9.140625" defaultRowHeight="12.75"/>
  <cols>
    <col min="1" max="1" width="3.421875" style="3" customWidth="1"/>
    <col min="2" max="2" width="40.8515625" style="3" customWidth="1"/>
    <col min="3" max="3" width="17.421875" style="3" customWidth="1"/>
    <col min="4" max="4" width="11.28125" style="3" customWidth="1"/>
    <col min="5" max="5" width="11.8515625" style="3" customWidth="1"/>
    <col min="6" max="6" width="8.57421875" style="3" customWidth="1"/>
    <col min="7" max="16384" width="9.140625" style="3" customWidth="1"/>
  </cols>
  <sheetData>
    <row r="1" ht="15">
      <c r="B1" s="56" t="s">
        <v>74</v>
      </c>
    </row>
    <row r="2" spans="1:6" ht="24" customHeight="1">
      <c r="A2" s="2"/>
      <c r="B2" s="1" t="s">
        <v>180</v>
      </c>
      <c r="C2" s="4"/>
      <c r="D2" s="50">
        <v>382</v>
      </c>
      <c r="E2" s="5" t="s">
        <v>0</v>
      </c>
      <c r="F2" s="2"/>
    </row>
    <row r="3" spans="1:6" ht="9" customHeight="1">
      <c r="A3" s="2"/>
      <c r="B3" s="6"/>
      <c r="C3" s="2"/>
      <c r="D3" s="2"/>
      <c r="E3" s="2"/>
      <c r="F3" s="2"/>
    </row>
    <row r="4" spans="1:6" ht="28.5" customHeight="1">
      <c r="A4" s="88" t="s">
        <v>109</v>
      </c>
      <c r="B4" s="88"/>
      <c r="C4" s="88"/>
      <c r="D4" s="88"/>
      <c r="E4" s="88"/>
      <c r="F4" s="2"/>
    </row>
    <row r="5" spans="1:6" ht="15">
      <c r="A5" s="1"/>
      <c r="B5" s="1"/>
      <c r="C5" s="1"/>
      <c r="D5" s="1"/>
      <c r="E5" s="1"/>
      <c r="F5" s="2"/>
    </row>
    <row r="6" spans="1:6" ht="85.5">
      <c r="A6" s="7"/>
      <c r="B6" s="8" t="s">
        <v>1</v>
      </c>
      <c r="C6" s="8" t="s">
        <v>2</v>
      </c>
      <c r="D6" s="8" t="s">
        <v>3</v>
      </c>
      <c r="E6" s="8" t="s">
        <v>4</v>
      </c>
      <c r="F6" s="2"/>
    </row>
    <row r="7" spans="1:6" s="60" customFormat="1" ht="15">
      <c r="A7" s="100" t="s">
        <v>125</v>
      </c>
      <c r="B7" s="101"/>
      <c r="C7" s="101"/>
      <c r="D7" s="62">
        <f>SUM(D8:D10)</f>
        <v>3206.420072325798</v>
      </c>
      <c r="E7" s="62">
        <f>SUM(E8:E10)</f>
        <v>0.6994808185702003</v>
      </c>
      <c r="F7" s="59"/>
    </row>
    <row r="8" spans="1:6" s="60" customFormat="1" ht="30">
      <c r="A8" s="63">
        <v>1</v>
      </c>
      <c r="B8" s="64" t="s">
        <v>126</v>
      </c>
      <c r="C8" s="65" t="s">
        <v>6</v>
      </c>
      <c r="D8" s="66">
        <f>E8*$D$2*12</f>
        <v>1598.061228339012</v>
      </c>
      <c r="E8" s="67">
        <v>0.348617196409034</v>
      </c>
      <c r="F8" s="59"/>
    </row>
    <row r="9" spans="1:6" s="60" customFormat="1" ht="15">
      <c r="A9" s="63">
        <v>2</v>
      </c>
      <c r="B9" s="64" t="s">
        <v>129</v>
      </c>
      <c r="C9" s="64" t="s">
        <v>127</v>
      </c>
      <c r="D9" s="66">
        <f>E9*$D$2*12</f>
        <v>1584.3092283390117</v>
      </c>
      <c r="E9" s="67">
        <v>0.345617196409034</v>
      </c>
      <c r="F9" s="59"/>
    </row>
    <row r="10" spans="1:6" s="60" customFormat="1" ht="30">
      <c r="A10" s="63">
        <v>3</v>
      </c>
      <c r="B10" s="64" t="s">
        <v>131</v>
      </c>
      <c r="C10" s="64" t="s">
        <v>130</v>
      </c>
      <c r="D10" s="66">
        <f>E10*$D$2*12</f>
        <v>24.04961564777455</v>
      </c>
      <c r="E10" s="67">
        <v>0.00524642575213232</v>
      </c>
      <c r="F10" s="59"/>
    </row>
    <row r="11" spans="1:6" s="60" customFormat="1" ht="30.75" customHeight="1">
      <c r="A11" s="89" t="s">
        <v>102</v>
      </c>
      <c r="B11" s="89"/>
      <c r="C11" s="89"/>
      <c r="D11" s="68">
        <f>SUM(D12:D17)</f>
        <v>8106.281098060287</v>
      </c>
      <c r="E11" s="68">
        <f>SUM(E12:E17)</f>
        <v>1.7683859288962231</v>
      </c>
      <c r="F11" s="69"/>
    </row>
    <row r="12" spans="1:6" s="60" customFormat="1" ht="30">
      <c r="A12" s="63">
        <v>4</v>
      </c>
      <c r="B12" s="61" t="s">
        <v>133</v>
      </c>
      <c r="C12" s="65" t="s">
        <v>6</v>
      </c>
      <c r="D12" s="66">
        <f aca="true" t="shared" si="0" ref="D12:D17">E12*$D$2*12</f>
        <v>343.3458950588247</v>
      </c>
      <c r="E12" s="67">
        <v>0.0749009369674574</v>
      </c>
      <c r="F12" s="59"/>
    </row>
    <row r="13" spans="1:6" s="60" customFormat="1" ht="30">
      <c r="A13" s="63">
        <v>5</v>
      </c>
      <c r="B13" s="61" t="s">
        <v>134</v>
      </c>
      <c r="C13" s="64" t="s">
        <v>135</v>
      </c>
      <c r="D13" s="66">
        <f t="shared" si="0"/>
        <v>438.93651356952023</v>
      </c>
      <c r="E13" s="66">
        <v>0.09575403873680634</v>
      </c>
      <c r="F13" s="59"/>
    </row>
    <row r="14" spans="1:6" s="60" customFormat="1" ht="60">
      <c r="A14" s="63">
        <v>6</v>
      </c>
      <c r="B14" s="65" t="s">
        <v>136</v>
      </c>
      <c r="C14" s="65" t="s">
        <v>137</v>
      </c>
      <c r="D14" s="66">
        <f t="shared" si="0"/>
        <v>2340.994739037441</v>
      </c>
      <c r="E14" s="66">
        <v>0.5106882065963003</v>
      </c>
      <c r="F14" s="59"/>
    </row>
    <row r="15" spans="1:6" s="60" customFormat="1" ht="15">
      <c r="A15" s="63">
        <v>7</v>
      </c>
      <c r="B15" s="64" t="s">
        <v>9</v>
      </c>
      <c r="C15" s="64" t="s">
        <v>139</v>
      </c>
      <c r="D15" s="66">
        <f t="shared" si="0"/>
        <v>824.8480646033238</v>
      </c>
      <c r="E15" s="67">
        <v>0.179940677269486</v>
      </c>
      <c r="F15" s="59"/>
    </row>
    <row r="16" spans="1:7" s="60" customFormat="1" ht="15" customHeight="1">
      <c r="A16" s="63">
        <v>8</v>
      </c>
      <c r="B16" s="64" t="s">
        <v>140</v>
      </c>
      <c r="C16" s="64" t="s">
        <v>130</v>
      </c>
      <c r="D16" s="66">
        <f t="shared" si="0"/>
        <v>4120.533856419225</v>
      </c>
      <c r="E16" s="66">
        <v>0.898894820335782</v>
      </c>
      <c r="F16" s="70"/>
      <c r="G16" s="71"/>
    </row>
    <row r="17" spans="1:7" s="60" customFormat="1" ht="15" customHeight="1">
      <c r="A17" s="63">
        <v>9</v>
      </c>
      <c r="B17" s="64" t="s">
        <v>10</v>
      </c>
      <c r="C17" s="64" t="s">
        <v>7</v>
      </c>
      <c r="D17" s="66">
        <f t="shared" si="0"/>
        <v>37.622029371952415</v>
      </c>
      <c r="E17" s="66">
        <v>0.008207248990391016</v>
      </c>
      <c r="F17" s="70"/>
      <c r="G17" s="71"/>
    </row>
    <row r="18" spans="1:7" ht="15">
      <c r="A18" s="90" t="s">
        <v>156</v>
      </c>
      <c r="B18" s="91"/>
      <c r="C18" s="92"/>
      <c r="D18" s="17">
        <f>SUM(D19:D20)</f>
        <v>3229.7098523197583</v>
      </c>
      <c r="E18" s="17">
        <f>SUM(E19:E20)</f>
        <v>0.7045614861081496</v>
      </c>
      <c r="F18" s="20"/>
      <c r="G18" s="19"/>
    </row>
    <row r="19" spans="1:7" ht="15.75" customHeight="1">
      <c r="A19" s="12">
        <v>10</v>
      </c>
      <c r="B19" s="7" t="s">
        <v>11</v>
      </c>
      <c r="C19" s="14" t="s">
        <v>12</v>
      </c>
      <c r="D19" s="15">
        <f>E19*$D$2*12</f>
        <v>2954.9037990116726</v>
      </c>
      <c r="E19" s="21">
        <v>0.644612521599405</v>
      </c>
      <c r="F19" s="18"/>
      <c r="G19" s="19"/>
    </row>
    <row r="20" spans="1:7" ht="30">
      <c r="A20" s="12">
        <v>11</v>
      </c>
      <c r="B20" s="13" t="s">
        <v>13</v>
      </c>
      <c r="C20" s="13" t="s">
        <v>14</v>
      </c>
      <c r="D20" s="15">
        <f>E20*$D$2*12</f>
        <v>274.8060533080857</v>
      </c>
      <c r="E20" s="21">
        <v>0.0599489645087447</v>
      </c>
      <c r="F20" s="18"/>
      <c r="G20" s="19"/>
    </row>
    <row r="21" spans="1:7" ht="29.25" customHeight="1">
      <c r="A21" s="90" t="s">
        <v>157</v>
      </c>
      <c r="B21" s="93"/>
      <c r="C21" s="94"/>
      <c r="D21" s="22">
        <f>SUM(D22:D25)</f>
        <v>5072.486454397309</v>
      </c>
      <c r="E21" s="22">
        <f>SUM(E22:E25)</f>
        <v>1.106563362652118</v>
      </c>
      <c r="F21" s="18"/>
      <c r="G21" s="19"/>
    </row>
    <row r="22" spans="1:7" ht="29.25" customHeight="1">
      <c r="A22" s="63">
        <v>12</v>
      </c>
      <c r="B22" s="64" t="s">
        <v>15</v>
      </c>
      <c r="C22" s="64" t="s">
        <v>7</v>
      </c>
      <c r="D22" s="15">
        <f>E22*12*$D$2</f>
        <v>85.80041809318041</v>
      </c>
      <c r="E22" s="15">
        <v>0.018717368693974782</v>
      </c>
      <c r="F22" s="18"/>
      <c r="G22" s="19"/>
    </row>
    <row r="23" spans="1:7" ht="29.25" customHeight="1">
      <c r="A23" s="63">
        <v>13</v>
      </c>
      <c r="B23" s="64" t="s">
        <v>16</v>
      </c>
      <c r="C23" s="64" t="s">
        <v>7</v>
      </c>
      <c r="D23" s="15">
        <f>E23*12*$D$2</f>
        <v>537.1492833907528</v>
      </c>
      <c r="E23" s="15">
        <v>0.11717916304335795</v>
      </c>
      <c r="F23" s="18"/>
      <c r="G23" s="19"/>
    </row>
    <row r="24" spans="1:7" ht="29.25" customHeight="1">
      <c r="A24" s="63">
        <v>14</v>
      </c>
      <c r="B24" s="64" t="s">
        <v>141</v>
      </c>
      <c r="C24" s="64" t="s">
        <v>7</v>
      </c>
      <c r="D24" s="15">
        <f>E24*12*$D$2</f>
        <v>26.875313704146915</v>
      </c>
      <c r="E24" s="15">
        <v>0.005862852029700462</v>
      </c>
      <c r="F24" s="18"/>
      <c r="G24" s="19"/>
    </row>
    <row r="25" spans="1:6" ht="91.5" customHeight="1">
      <c r="A25" s="63">
        <v>15</v>
      </c>
      <c r="B25" s="64" t="s">
        <v>17</v>
      </c>
      <c r="C25" s="64" t="s">
        <v>7</v>
      </c>
      <c r="D25" s="15">
        <f>E25*12*$D$2</f>
        <v>4422.661439209229</v>
      </c>
      <c r="E25" s="15">
        <v>0.9648039788850848</v>
      </c>
      <c r="F25" s="2"/>
    </row>
    <row r="26" spans="1:9" ht="15">
      <c r="A26" s="95" t="s">
        <v>142</v>
      </c>
      <c r="B26" s="96"/>
      <c r="C26" s="96"/>
      <c r="D26" s="11">
        <f>SUM(D27:D28)</f>
        <v>7054.940006546892</v>
      </c>
      <c r="E26" s="11">
        <f>SUM(E27:E28)</f>
        <v>1.5390357780425155</v>
      </c>
      <c r="F26" s="2"/>
      <c r="G26" s="51"/>
      <c r="H26" s="51"/>
      <c r="I26" s="52"/>
    </row>
    <row r="27" spans="1:9" ht="74.25" customHeight="1">
      <c r="A27" s="12">
        <v>16</v>
      </c>
      <c r="B27" s="64" t="s">
        <v>18</v>
      </c>
      <c r="C27" s="64" t="s">
        <v>7</v>
      </c>
      <c r="D27" s="15">
        <f>E27*12*$D$2</f>
        <v>392.67657564686544</v>
      </c>
      <c r="E27" s="15">
        <f>0.0175330878264712+0.0681293414158642</f>
        <v>0.0856624292423354</v>
      </c>
      <c r="F27" s="2"/>
      <c r="G27" s="51"/>
      <c r="H27" s="51"/>
      <c r="I27" s="52"/>
    </row>
    <row r="28" spans="1:9" ht="104.25" customHeight="1">
      <c r="A28" s="12">
        <v>17</v>
      </c>
      <c r="B28" s="64" t="s">
        <v>19</v>
      </c>
      <c r="C28" s="64" t="s">
        <v>20</v>
      </c>
      <c r="D28" s="15">
        <f>E28*12*$D$2</f>
        <v>6662.263430900026</v>
      </c>
      <c r="E28" s="21">
        <f>1.34085023420018+0.1125231146</f>
        <v>1.45337334880018</v>
      </c>
      <c r="F28" s="2"/>
      <c r="G28" s="54"/>
      <c r="H28" s="54"/>
      <c r="I28" s="54"/>
    </row>
    <row r="29" spans="1:9" ht="15">
      <c r="A29" s="95" t="s">
        <v>143</v>
      </c>
      <c r="B29" s="95"/>
      <c r="C29" s="95"/>
      <c r="D29" s="23">
        <f>SUM(D30)</f>
        <v>1023.1200000000005</v>
      </c>
      <c r="E29" s="22">
        <f>SUM(E30)</f>
        <v>0.223193717277487</v>
      </c>
      <c r="F29" s="2"/>
      <c r="G29" s="54"/>
      <c r="H29" s="54"/>
      <c r="I29" s="54"/>
    </row>
    <row r="30" spans="1:6" ht="15">
      <c r="A30" s="12">
        <v>18</v>
      </c>
      <c r="B30" s="13" t="s">
        <v>21</v>
      </c>
      <c r="C30" s="13" t="s">
        <v>22</v>
      </c>
      <c r="D30" s="15">
        <f>E30*12*$D$2</f>
        <v>1023.1200000000005</v>
      </c>
      <c r="E30" s="21">
        <v>0.223193717277487</v>
      </c>
      <c r="F30" s="2"/>
    </row>
    <row r="31" spans="1:6" ht="15">
      <c r="A31" s="100" t="s">
        <v>144</v>
      </c>
      <c r="B31" s="100"/>
      <c r="C31" s="100"/>
      <c r="D31" s="73">
        <f>SUM(D32:D33)</f>
        <v>300.4619792417667</v>
      </c>
      <c r="E31" s="73">
        <f>SUM(E32:E33)</f>
        <v>0.0655458069899142</v>
      </c>
      <c r="F31" s="2"/>
    </row>
    <row r="32" spans="1:6" ht="30">
      <c r="A32" s="63">
        <v>19</v>
      </c>
      <c r="B32" s="64" t="s">
        <v>23</v>
      </c>
      <c r="C32" s="64" t="s">
        <v>14</v>
      </c>
      <c r="D32" s="15">
        <f>E32*12*$D$2</f>
        <v>254.6219792417667</v>
      </c>
      <c r="E32" s="72">
        <v>0.0555458069899142</v>
      </c>
      <c r="F32" s="2"/>
    </row>
    <row r="33" spans="1:6" ht="44.25" customHeight="1">
      <c r="A33" s="63">
        <v>20</v>
      </c>
      <c r="B33" s="64" t="s">
        <v>145</v>
      </c>
      <c r="C33" s="64" t="s">
        <v>146</v>
      </c>
      <c r="D33" s="15">
        <f>E33*12*$D$2</f>
        <v>45.839999999999996</v>
      </c>
      <c r="E33" s="66">
        <v>0.01</v>
      </c>
      <c r="F33" s="2"/>
    </row>
    <row r="34" spans="1:6" ht="15">
      <c r="A34" s="8"/>
      <c r="B34" s="24" t="s">
        <v>24</v>
      </c>
      <c r="C34" s="24"/>
      <c r="D34" s="25">
        <f>D7+D11+D18+D21+D26+D29+D31</f>
        <v>27993.419462891805</v>
      </c>
      <c r="E34" s="17">
        <f>E7+E11+E18+E21+E26+E29+E31</f>
        <v>6.106766898536608</v>
      </c>
      <c r="F34" s="5"/>
    </row>
    <row r="35" spans="1:6" ht="4.5" customHeight="1">
      <c r="A35" s="26"/>
      <c r="B35" s="27"/>
      <c r="C35" s="28"/>
      <c r="D35" s="29"/>
      <c r="E35" s="30"/>
      <c r="F35" s="2"/>
    </row>
    <row r="36" spans="1:6" ht="5.25" customHeight="1">
      <c r="A36" s="26"/>
      <c r="B36" s="27"/>
      <c r="C36" s="28"/>
      <c r="D36" s="29"/>
      <c r="E36" s="30"/>
      <c r="F36" s="2"/>
    </row>
    <row r="37" spans="1:6" ht="105">
      <c r="A37" s="10" t="s">
        <v>25</v>
      </c>
      <c r="B37" s="10" t="s">
        <v>26</v>
      </c>
      <c r="C37" s="10" t="s">
        <v>27</v>
      </c>
      <c r="D37" s="10" t="s">
        <v>28</v>
      </c>
      <c r="E37" s="10" t="s">
        <v>29</v>
      </c>
      <c r="F37" s="10" t="s">
        <v>30</v>
      </c>
    </row>
    <row r="38" spans="1:6" ht="15">
      <c r="A38" s="10">
        <v>1</v>
      </c>
      <c r="B38" s="7" t="s">
        <v>165</v>
      </c>
      <c r="C38" s="10" t="s">
        <v>181</v>
      </c>
      <c r="D38" s="10">
        <v>8640</v>
      </c>
      <c r="E38" s="33">
        <f>D38/12/$D$2</f>
        <v>1.8848167539267016</v>
      </c>
      <c r="F38" s="34">
        <v>2</v>
      </c>
    </row>
    <row r="39" spans="1:6" ht="15">
      <c r="A39" s="10"/>
      <c r="B39" s="36" t="s">
        <v>31</v>
      </c>
      <c r="C39" s="9"/>
      <c r="D39" s="37">
        <f>SUM(D38:D38)</f>
        <v>8640</v>
      </c>
      <c r="E39" s="38">
        <f>SUM(E38:E38)</f>
        <v>1.8848167539267016</v>
      </c>
      <c r="F39" s="39"/>
    </row>
    <row r="40" spans="1:6" ht="7.5" customHeight="1">
      <c r="A40" s="26"/>
      <c r="B40" s="27"/>
      <c r="C40" s="40"/>
      <c r="D40" s="40"/>
      <c r="E40" s="40"/>
      <c r="F40" s="40"/>
    </row>
    <row r="41" spans="1:6" ht="29.25">
      <c r="A41" s="26"/>
      <c r="B41" s="27" t="s">
        <v>32</v>
      </c>
      <c r="C41" s="41">
        <f>D34+D39</f>
        <v>36633.419462891805</v>
      </c>
      <c r="D41" s="41"/>
      <c r="E41" s="41"/>
      <c r="F41" s="40"/>
    </row>
    <row r="42" spans="1:6" ht="15">
      <c r="A42" s="26"/>
      <c r="B42" s="27" t="s">
        <v>33</v>
      </c>
      <c r="C42" s="42">
        <f>E34+E39</f>
        <v>7.9915836524633095</v>
      </c>
      <c r="D42" s="40"/>
      <c r="E42" s="40"/>
      <c r="F42" s="40"/>
    </row>
    <row r="43" spans="1:6" ht="7.5" customHeight="1">
      <c r="A43" s="26"/>
      <c r="B43" s="27"/>
      <c r="C43" s="42"/>
      <c r="D43" s="40"/>
      <c r="E43" s="40"/>
      <c r="F43" s="40"/>
    </row>
    <row r="44" spans="1:6" ht="30.75" customHeight="1">
      <c r="A44" s="88" t="s">
        <v>111</v>
      </c>
      <c r="B44" s="88"/>
      <c r="C44" s="88"/>
      <c r="D44" s="88"/>
      <c r="E44" s="88"/>
      <c r="F44" s="88"/>
    </row>
    <row r="45" spans="1:6" ht="6" customHeight="1">
      <c r="A45" s="1"/>
      <c r="B45" s="1"/>
      <c r="C45" s="1"/>
      <c r="D45" s="2"/>
      <c r="E45" s="2"/>
      <c r="F45" s="2"/>
    </row>
    <row r="46" spans="1:6" ht="85.5">
      <c r="A46" s="7"/>
      <c r="B46" s="8" t="s">
        <v>1</v>
      </c>
      <c r="C46" s="8" t="s">
        <v>2</v>
      </c>
      <c r="D46" s="8" t="s">
        <v>3</v>
      </c>
      <c r="E46" s="8" t="s">
        <v>4</v>
      </c>
      <c r="F46" s="2"/>
    </row>
    <row r="47" spans="1:5" ht="30" customHeight="1">
      <c r="A47" s="89" t="s">
        <v>123</v>
      </c>
      <c r="B47" s="89"/>
      <c r="C47" s="89"/>
      <c r="D47" s="17">
        <f>SUM(D48:D49)</f>
        <v>2442.931842508518</v>
      </c>
      <c r="E47" s="17">
        <f>SUM(E48:E49)</f>
        <v>0.532925794613551</v>
      </c>
    </row>
    <row r="48" spans="1:5" ht="30" customHeight="1">
      <c r="A48" s="63" t="s">
        <v>5</v>
      </c>
      <c r="B48" s="74" t="s">
        <v>126</v>
      </c>
      <c r="C48" s="74" t="s">
        <v>149</v>
      </c>
      <c r="D48" s="15">
        <f>E48*12*$D$2</f>
        <v>2397.091842508518</v>
      </c>
      <c r="E48" s="75">
        <f>3*E8/2</f>
        <v>0.522925794613551</v>
      </c>
    </row>
    <row r="49" spans="1:5" ht="30">
      <c r="A49" s="63" t="s">
        <v>34</v>
      </c>
      <c r="B49" s="43" t="s">
        <v>35</v>
      </c>
      <c r="C49" s="43" t="s">
        <v>42</v>
      </c>
      <c r="D49" s="15">
        <f>E49*12*$D$2</f>
        <v>45.839999999999996</v>
      </c>
      <c r="E49" s="44">
        <v>0.01</v>
      </c>
    </row>
    <row r="50" spans="1:5" ht="30" customHeight="1">
      <c r="A50" s="89" t="s">
        <v>102</v>
      </c>
      <c r="B50" s="89"/>
      <c r="C50" s="89"/>
      <c r="D50" s="17">
        <f>SUM(D51:D53)</f>
        <v>1279.9839634883913</v>
      </c>
      <c r="E50" s="17">
        <f>SUM(E51:E53)</f>
        <v>0.2792286133264379</v>
      </c>
    </row>
    <row r="51" spans="1:5" ht="30" customHeight="1">
      <c r="A51" s="63" t="s">
        <v>151</v>
      </c>
      <c r="B51" s="74" t="s">
        <v>152</v>
      </c>
      <c r="C51" s="74" t="s">
        <v>153</v>
      </c>
      <c r="D51" s="15">
        <f>E51*$D$2*12</f>
        <v>91.68</v>
      </c>
      <c r="E51" s="75">
        <v>0.02</v>
      </c>
    </row>
    <row r="52" spans="1:5" ht="30" customHeight="1">
      <c r="A52" s="63" t="s">
        <v>154</v>
      </c>
      <c r="B52" s="76" t="s">
        <v>133</v>
      </c>
      <c r="C52" s="76" t="s">
        <v>155</v>
      </c>
      <c r="D52" s="15">
        <f>E52*$D$2*12</f>
        <v>858.3647376470617</v>
      </c>
      <c r="E52" s="75">
        <f>5*E12/2</f>
        <v>0.18725234241864347</v>
      </c>
    </row>
    <row r="53" spans="1:5" ht="30">
      <c r="A53" s="63" t="s">
        <v>128</v>
      </c>
      <c r="B53" s="77" t="s">
        <v>9</v>
      </c>
      <c r="C53" s="61" t="s">
        <v>150</v>
      </c>
      <c r="D53" s="15">
        <f>E53*$D$2*12</f>
        <v>329.9392258413295</v>
      </c>
      <c r="E53" s="67">
        <f>2*E15/5</f>
        <v>0.0719762709077944</v>
      </c>
    </row>
    <row r="54" spans="1:6" ht="15">
      <c r="A54" s="8"/>
      <c r="B54" s="24" t="s">
        <v>24</v>
      </c>
      <c r="C54" s="24"/>
      <c r="D54" s="25">
        <f>D47+D50</f>
        <v>3722.9158059969095</v>
      </c>
      <c r="E54" s="17">
        <f>E47+E50</f>
        <v>0.8121544079399889</v>
      </c>
      <c r="F54" s="5"/>
    </row>
    <row r="55" spans="1:6" ht="5.25" customHeight="1">
      <c r="A55" s="2"/>
      <c r="B55" s="2"/>
      <c r="C55" s="2"/>
      <c r="D55" s="2"/>
      <c r="E55" s="2"/>
      <c r="F55" s="2"/>
    </row>
    <row r="56" spans="1:6" ht="7.5" customHeight="1">
      <c r="A56" s="31"/>
      <c r="B56" s="31"/>
      <c r="C56" s="31"/>
      <c r="D56" s="31"/>
      <c r="E56" s="31"/>
      <c r="F56" s="32"/>
    </row>
    <row r="57" spans="1:6" ht="105">
      <c r="A57" s="10" t="s">
        <v>25</v>
      </c>
      <c r="B57" s="10" t="s">
        <v>26</v>
      </c>
      <c r="C57" s="10" t="s">
        <v>27</v>
      </c>
      <c r="D57" s="10" t="s">
        <v>28</v>
      </c>
      <c r="E57" s="10" t="s">
        <v>36</v>
      </c>
      <c r="F57" s="10" t="s">
        <v>30</v>
      </c>
    </row>
    <row r="58" spans="1:6" ht="15">
      <c r="A58" s="10">
        <v>1</v>
      </c>
      <c r="B58" s="7" t="s">
        <v>165</v>
      </c>
      <c r="C58" s="10" t="s">
        <v>181</v>
      </c>
      <c r="D58" s="10">
        <v>8640</v>
      </c>
      <c r="E58" s="46">
        <f>D58/12/$D$2</f>
        <v>1.8848167539267016</v>
      </c>
      <c r="F58" s="34">
        <v>2</v>
      </c>
    </row>
    <row r="59" spans="1:6" ht="15">
      <c r="A59" s="47"/>
      <c r="B59" s="47" t="s">
        <v>31</v>
      </c>
      <c r="C59" s="47"/>
      <c r="D59" s="48">
        <f>SUM(D58:D58)</f>
        <v>8640</v>
      </c>
      <c r="E59" s="49">
        <f>SUM(E58:E58)</f>
        <v>1.8848167539267016</v>
      </c>
      <c r="F59" s="47"/>
    </row>
    <row r="64" spans="2:3" ht="43.5">
      <c r="B64" s="27" t="s">
        <v>100</v>
      </c>
      <c r="C64" s="58">
        <f>C41</f>
        <v>36633.419462891805</v>
      </c>
    </row>
  </sheetData>
  <mergeCells count="11">
    <mergeCell ref="A50:C50"/>
    <mergeCell ref="A29:C29"/>
    <mergeCell ref="A44:F44"/>
    <mergeCell ref="A47:C47"/>
    <mergeCell ref="A31:C31"/>
    <mergeCell ref="A4:E4"/>
    <mergeCell ref="A18:C18"/>
    <mergeCell ref="A21:C21"/>
    <mergeCell ref="A26:C26"/>
    <mergeCell ref="A7:C7"/>
    <mergeCell ref="A11:C11"/>
  </mergeCells>
  <printOptions/>
  <pageMargins left="0.7874015748031497" right="0.2362204724409449" top="0.5905511811023623" bottom="0.5905511811023623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22">
      <selection activeCell="B26" sqref="B26:C27"/>
    </sheetView>
  </sheetViews>
  <sheetFormatPr defaultColWidth="9.140625" defaultRowHeight="12.75"/>
  <cols>
    <col min="1" max="1" width="3.421875" style="3" customWidth="1"/>
    <col min="2" max="2" width="40.8515625" style="3" customWidth="1"/>
    <col min="3" max="3" width="17.421875" style="3" customWidth="1"/>
    <col min="4" max="4" width="11.28125" style="3" customWidth="1"/>
    <col min="5" max="5" width="11.8515625" style="3" customWidth="1"/>
    <col min="6" max="6" width="8.57421875" style="3" customWidth="1"/>
    <col min="7" max="16384" width="9.140625" style="3" customWidth="1"/>
  </cols>
  <sheetData>
    <row r="1" ht="15">
      <c r="B1" s="56" t="s">
        <v>75</v>
      </c>
    </row>
    <row r="2" spans="1:6" ht="24" customHeight="1">
      <c r="A2" s="2"/>
      <c r="B2" s="1" t="s">
        <v>182</v>
      </c>
      <c r="C2" s="4"/>
      <c r="D2" s="50">
        <v>228.3</v>
      </c>
      <c r="E2" s="5" t="s">
        <v>0</v>
      </c>
      <c r="F2" s="2"/>
    </row>
    <row r="3" spans="1:6" ht="9" customHeight="1">
      <c r="A3" s="2"/>
      <c r="B3" s="6"/>
      <c r="C3" s="2"/>
      <c r="D3" s="2"/>
      <c r="E3" s="2"/>
      <c r="F3" s="2"/>
    </row>
    <row r="4" spans="1:6" ht="28.5" customHeight="1">
      <c r="A4" s="88" t="s">
        <v>109</v>
      </c>
      <c r="B4" s="88"/>
      <c r="C4" s="88"/>
      <c r="D4" s="88"/>
      <c r="E4" s="88"/>
      <c r="F4" s="2"/>
    </row>
    <row r="5" spans="1:6" ht="15">
      <c r="A5" s="1"/>
      <c r="B5" s="1"/>
      <c r="C5" s="1"/>
      <c r="D5" s="1"/>
      <c r="E5" s="1"/>
      <c r="F5" s="2"/>
    </row>
    <row r="6" spans="1:6" ht="85.5">
      <c r="A6" s="7"/>
      <c r="B6" s="8" t="s">
        <v>1</v>
      </c>
      <c r="C6" s="8" t="s">
        <v>2</v>
      </c>
      <c r="D6" s="8" t="s">
        <v>3</v>
      </c>
      <c r="E6" s="8" t="s">
        <v>4</v>
      </c>
      <c r="F6" s="2"/>
    </row>
    <row r="7" spans="1:6" s="60" customFormat="1" ht="15">
      <c r="A7" s="100" t="s">
        <v>125</v>
      </c>
      <c r="B7" s="101"/>
      <c r="C7" s="101"/>
      <c r="D7" s="62">
        <f>SUM(D8:D10)</f>
        <v>1923.8973338346707</v>
      </c>
      <c r="E7" s="62">
        <f>SUM(E8:E10)</f>
        <v>0.702254830571861</v>
      </c>
      <c r="F7" s="59"/>
    </row>
    <row r="8" spans="1:6" s="60" customFormat="1" ht="30">
      <c r="A8" s="63">
        <v>1</v>
      </c>
      <c r="B8" s="64" t="s">
        <v>126</v>
      </c>
      <c r="C8" s="65" t="s">
        <v>6</v>
      </c>
      <c r="D8" s="66">
        <f>E8*$D$2*12</f>
        <v>955.0716712821896</v>
      </c>
      <c r="E8" s="67">
        <v>0.348617196409034</v>
      </c>
      <c r="F8" s="59"/>
    </row>
    <row r="9" spans="1:6" s="60" customFormat="1" ht="15">
      <c r="A9" s="63">
        <v>2</v>
      </c>
      <c r="B9" s="64" t="s">
        <v>129</v>
      </c>
      <c r="C9" s="64" t="s">
        <v>127</v>
      </c>
      <c r="D9" s="66">
        <f>E9*$D$2*12</f>
        <v>955.0716712821896</v>
      </c>
      <c r="E9" s="67">
        <v>0.348617196409034</v>
      </c>
      <c r="F9" s="59"/>
    </row>
    <row r="10" spans="1:6" s="60" customFormat="1" ht="30">
      <c r="A10" s="63">
        <v>3</v>
      </c>
      <c r="B10" s="64" t="s">
        <v>131</v>
      </c>
      <c r="C10" s="64" t="s">
        <v>130</v>
      </c>
      <c r="D10" s="66">
        <f>E10*$D$2*12</f>
        <v>13.753991270291472</v>
      </c>
      <c r="E10" s="67">
        <v>0.005020437753793062</v>
      </c>
      <c r="F10" s="59"/>
    </row>
    <row r="11" spans="1:6" s="60" customFormat="1" ht="30.75" customHeight="1">
      <c r="A11" s="89" t="s">
        <v>102</v>
      </c>
      <c r="B11" s="89"/>
      <c r="C11" s="89"/>
      <c r="D11" s="68">
        <f>SUM(D12:D16)</f>
        <v>4501.409762919648</v>
      </c>
      <c r="E11" s="68">
        <f>SUM(E12:E16)</f>
        <v>1.6430901456123697</v>
      </c>
      <c r="F11" s="69"/>
    </row>
    <row r="12" spans="1:6" s="60" customFormat="1" ht="30">
      <c r="A12" s="63">
        <v>4</v>
      </c>
      <c r="B12" s="61" t="s">
        <v>133</v>
      </c>
      <c r="C12" s="65" t="s">
        <v>6</v>
      </c>
      <c r="D12" s="66">
        <f>E12*$D$2*12</f>
        <v>158.46733618099597</v>
      </c>
      <c r="E12" s="67">
        <v>0.0578432384950343</v>
      </c>
      <c r="F12" s="59"/>
    </row>
    <row r="13" spans="1:6" s="60" customFormat="1" ht="30">
      <c r="A13" s="63">
        <v>5</v>
      </c>
      <c r="B13" s="61" t="s">
        <v>134</v>
      </c>
      <c r="C13" s="64" t="s">
        <v>135</v>
      </c>
      <c r="D13" s="66">
        <f>E13*$D$2*12</f>
        <v>202.5860831859324</v>
      </c>
      <c r="E13" s="66">
        <v>0.07394732193967456</v>
      </c>
      <c r="F13" s="59"/>
    </row>
    <row r="14" spans="1:6" s="60" customFormat="1" ht="60">
      <c r="A14" s="63">
        <v>6</v>
      </c>
      <c r="B14" s="65" t="s">
        <v>136</v>
      </c>
      <c r="C14" s="65" t="s">
        <v>137</v>
      </c>
      <c r="D14" s="66">
        <f>E14*$D$2*12</f>
        <v>1080.459110324973</v>
      </c>
      <c r="E14" s="66">
        <v>0.39438571701159764</v>
      </c>
      <c r="F14" s="59"/>
    </row>
    <row r="15" spans="1:6" s="60" customFormat="1" ht="15">
      <c r="A15" s="63">
        <v>7</v>
      </c>
      <c r="B15" s="64" t="s">
        <v>9</v>
      </c>
      <c r="C15" s="64" t="s">
        <v>139</v>
      </c>
      <c r="D15" s="66">
        <f>E15*$D$2*12</f>
        <v>380.5791962203134</v>
      </c>
      <c r="E15" s="67">
        <v>0.138917796839069</v>
      </c>
      <c r="F15" s="59"/>
    </row>
    <row r="16" spans="1:7" s="60" customFormat="1" ht="15" customHeight="1">
      <c r="A16" s="63">
        <v>8</v>
      </c>
      <c r="B16" s="64" t="s">
        <v>140</v>
      </c>
      <c r="C16" s="64" t="s">
        <v>130</v>
      </c>
      <c r="D16" s="66">
        <f>E16*$D$2*12</f>
        <v>2679.318037007433</v>
      </c>
      <c r="E16" s="66">
        <v>0.9779960713269941</v>
      </c>
      <c r="F16" s="70"/>
      <c r="G16" s="71"/>
    </row>
    <row r="17" spans="1:7" ht="15">
      <c r="A17" s="90" t="s">
        <v>156</v>
      </c>
      <c r="B17" s="91"/>
      <c r="C17" s="92"/>
      <c r="D17" s="17">
        <f>SUM(D18:D19)</f>
        <v>2153.1399015465063</v>
      </c>
      <c r="E17" s="17">
        <f>SUM(E18:E19)</f>
        <v>0.7859322169464542</v>
      </c>
      <c r="F17" s="20"/>
      <c r="G17" s="19"/>
    </row>
    <row r="18" spans="1:7" ht="15.75" customHeight="1">
      <c r="A18" s="12">
        <v>9</v>
      </c>
      <c r="B18" s="7" t="s">
        <v>11</v>
      </c>
      <c r="C18" s="14" t="s">
        <v>12</v>
      </c>
      <c r="D18" s="15">
        <f>E18*$D$2*12</f>
        <v>1969.9358660077824</v>
      </c>
      <c r="E18" s="21">
        <v>0.719059667837561</v>
      </c>
      <c r="F18" s="18"/>
      <c r="G18" s="19"/>
    </row>
    <row r="19" spans="1:7" ht="30">
      <c r="A19" s="12">
        <v>10</v>
      </c>
      <c r="B19" s="13" t="s">
        <v>13</v>
      </c>
      <c r="C19" s="13" t="s">
        <v>14</v>
      </c>
      <c r="D19" s="15">
        <f>E19*$D$2*12</f>
        <v>183.20403553872382</v>
      </c>
      <c r="E19" s="21">
        <v>0.0668725491088932</v>
      </c>
      <c r="F19" s="18"/>
      <c r="G19" s="19"/>
    </row>
    <row r="20" spans="1:7" ht="29.25" customHeight="1">
      <c r="A20" s="90" t="s">
        <v>157</v>
      </c>
      <c r="B20" s="93"/>
      <c r="C20" s="94"/>
      <c r="D20" s="22">
        <f>SUM(D21:D24)</f>
        <v>3006.883728889306</v>
      </c>
      <c r="E20" s="22">
        <f>SUM(E21:E24)</f>
        <v>1.097563048944848</v>
      </c>
      <c r="F20" s="18"/>
      <c r="G20" s="19"/>
    </row>
    <row r="21" spans="1:7" ht="29.25" customHeight="1">
      <c r="A21" s="63">
        <v>11</v>
      </c>
      <c r="B21" s="64" t="s">
        <v>15</v>
      </c>
      <c r="C21" s="64" t="s">
        <v>7</v>
      </c>
      <c r="D21" s="15">
        <f>E21*12*$D$2</f>
        <v>85.8004180931804</v>
      </c>
      <c r="E21" s="15">
        <v>0.031318593259300774</v>
      </c>
      <c r="F21" s="18"/>
      <c r="G21" s="19"/>
    </row>
    <row r="22" spans="1:7" ht="29.25" customHeight="1">
      <c r="A22" s="63">
        <v>12</v>
      </c>
      <c r="B22" s="64" t="s">
        <v>16</v>
      </c>
      <c r="C22" s="64" t="s">
        <v>7</v>
      </c>
      <c r="D22" s="15">
        <f>E22*12*$D$2</f>
        <v>270.8738155133929</v>
      </c>
      <c r="E22" s="15">
        <v>0.09887349084296719</v>
      </c>
      <c r="F22" s="18"/>
      <c r="G22" s="19"/>
    </row>
    <row r="23" spans="1:7" ht="29.25" customHeight="1">
      <c r="A23" s="63">
        <v>13</v>
      </c>
      <c r="B23" s="64" t="s">
        <v>141</v>
      </c>
      <c r="C23" s="64" t="s">
        <v>7</v>
      </c>
      <c r="D23" s="15">
        <f>E23*12*$D$2</f>
        <v>73.90711268640402</v>
      </c>
      <c r="E23" s="15">
        <v>0.026977337088043517</v>
      </c>
      <c r="F23" s="18"/>
      <c r="G23" s="19"/>
    </row>
    <row r="24" spans="1:6" ht="91.5" customHeight="1">
      <c r="A24" s="63">
        <v>14</v>
      </c>
      <c r="B24" s="64" t="s">
        <v>17</v>
      </c>
      <c r="C24" s="64" t="s">
        <v>7</v>
      </c>
      <c r="D24" s="15">
        <f>E24*12*$D$2</f>
        <v>2576.3023825963287</v>
      </c>
      <c r="E24" s="15">
        <v>0.9403936277545366</v>
      </c>
      <c r="F24" s="2"/>
    </row>
    <row r="25" spans="1:9" ht="15">
      <c r="A25" s="95" t="s">
        <v>142</v>
      </c>
      <c r="B25" s="96"/>
      <c r="C25" s="96"/>
      <c r="D25" s="11">
        <f>SUM(D26:D27)</f>
        <v>4265.7815741474615</v>
      </c>
      <c r="E25" s="11">
        <f>SUM(E26:E27)</f>
        <v>1.5570819003312386</v>
      </c>
      <c r="F25" s="2"/>
      <c r="G25" s="51"/>
      <c r="H25" s="51"/>
      <c r="I25" s="52"/>
    </row>
    <row r="26" spans="1:9" ht="74.25" customHeight="1">
      <c r="A26" s="12">
        <v>15</v>
      </c>
      <c r="B26" s="64" t="s">
        <v>18</v>
      </c>
      <c r="C26" s="64" t="s">
        <v>7</v>
      </c>
      <c r="D26" s="15">
        <f>E26*12*$D$2</f>
        <v>264.77715258309377</v>
      </c>
      <c r="E26" s="15">
        <f>0.0265761828071545+0.070071923698574</f>
        <v>0.0966481065057285</v>
      </c>
      <c r="F26" s="2"/>
      <c r="G26" s="51"/>
      <c r="H26" s="51"/>
      <c r="I26" s="52"/>
    </row>
    <row r="27" spans="1:9" ht="104.25" customHeight="1">
      <c r="A27" s="12">
        <v>16</v>
      </c>
      <c r="B27" s="64" t="s">
        <v>19</v>
      </c>
      <c r="C27" s="64" t="s">
        <v>20</v>
      </c>
      <c r="D27" s="15">
        <f>E27*12*$D$2</f>
        <v>4001.0044215643675</v>
      </c>
      <c r="E27" s="21">
        <f>1.34791067922551+0.1125231146</f>
        <v>1.46043379382551</v>
      </c>
      <c r="F27" s="2"/>
      <c r="G27" s="54"/>
      <c r="H27" s="54"/>
      <c r="I27" s="54"/>
    </row>
    <row r="28" spans="1:9" ht="15">
      <c r="A28" s="95" t="s">
        <v>143</v>
      </c>
      <c r="B28" s="95"/>
      <c r="C28" s="95"/>
      <c r="D28" s="23">
        <f>SUM(D29)</f>
        <v>438.4799999999994</v>
      </c>
      <c r="E28" s="22">
        <f>SUM(E29)</f>
        <v>0.160052562417871</v>
      </c>
      <c r="F28" s="2"/>
      <c r="G28" s="54"/>
      <c r="H28" s="54"/>
      <c r="I28" s="54"/>
    </row>
    <row r="29" spans="1:6" ht="15">
      <c r="A29" s="12">
        <v>17</v>
      </c>
      <c r="B29" s="13" t="s">
        <v>21</v>
      </c>
      <c r="C29" s="13" t="s">
        <v>22</v>
      </c>
      <c r="D29" s="15">
        <f>E29*12*$D$2</f>
        <v>438.4799999999994</v>
      </c>
      <c r="E29" s="21">
        <v>0.160052562417871</v>
      </c>
      <c r="F29" s="2"/>
    </row>
    <row r="30" spans="1:6" ht="15">
      <c r="A30" s="100" t="s">
        <v>144</v>
      </c>
      <c r="B30" s="100"/>
      <c r="C30" s="100"/>
      <c r="D30" s="73">
        <f>SUM(D31:D32)</f>
        <v>179.86371041324315</v>
      </c>
      <c r="E30" s="73">
        <f>SUM(E31:E32)</f>
        <v>0.0656532743514539</v>
      </c>
      <c r="F30" s="2"/>
    </row>
    <row r="31" spans="1:6" ht="30">
      <c r="A31" s="63">
        <v>18</v>
      </c>
      <c r="B31" s="64" t="s">
        <v>23</v>
      </c>
      <c r="C31" s="64" t="s">
        <v>14</v>
      </c>
      <c r="D31" s="15">
        <f>E31*12*$D$2</f>
        <v>152.46771041324314</v>
      </c>
      <c r="E31" s="72">
        <v>0.0556532743514539</v>
      </c>
      <c r="F31" s="2"/>
    </row>
    <row r="32" spans="1:6" ht="44.25" customHeight="1">
      <c r="A32" s="63">
        <v>19</v>
      </c>
      <c r="B32" s="64" t="s">
        <v>145</v>
      </c>
      <c r="C32" s="64" t="s">
        <v>146</v>
      </c>
      <c r="D32" s="15">
        <f>E32*12*$D$2</f>
        <v>27.396</v>
      </c>
      <c r="E32" s="66">
        <v>0.01</v>
      </c>
      <c r="F32" s="2"/>
    </row>
    <row r="33" spans="1:6" ht="15">
      <c r="A33" s="8"/>
      <c r="B33" s="24" t="s">
        <v>24</v>
      </c>
      <c r="C33" s="24"/>
      <c r="D33" s="25">
        <f>D7+D11+D17+D20+D25+D28+D30</f>
        <v>16469.456011750834</v>
      </c>
      <c r="E33" s="17">
        <f>E7+E11+E17+E20+E25+E28+E30</f>
        <v>6.0116279791760965</v>
      </c>
      <c r="F33" s="5"/>
    </row>
    <row r="34" spans="1:6" ht="4.5" customHeight="1">
      <c r="A34" s="26"/>
      <c r="B34" s="27"/>
      <c r="C34" s="28"/>
      <c r="D34" s="29"/>
      <c r="E34" s="30"/>
      <c r="F34" s="2"/>
    </row>
    <row r="35" spans="1:6" ht="5.25" customHeight="1">
      <c r="A35" s="26"/>
      <c r="B35" s="27"/>
      <c r="C35" s="28"/>
      <c r="D35" s="29"/>
      <c r="E35" s="30"/>
      <c r="F35" s="2"/>
    </row>
    <row r="36" spans="1:6" ht="105">
      <c r="A36" s="10" t="s">
        <v>25</v>
      </c>
      <c r="B36" s="10" t="s">
        <v>26</v>
      </c>
      <c r="C36" s="10" t="s">
        <v>27</v>
      </c>
      <c r="D36" s="10" t="s">
        <v>28</v>
      </c>
      <c r="E36" s="10" t="s">
        <v>29</v>
      </c>
      <c r="F36" s="10" t="s">
        <v>30</v>
      </c>
    </row>
    <row r="37" spans="1:6" ht="15">
      <c r="A37" s="10">
        <v>1</v>
      </c>
      <c r="B37" s="7" t="s">
        <v>165</v>
      </c>
      <c r="C37" s="10" t="s">
        <v>183</v>
      </c>
      <c r="D37" s="10">
        <v>5184</v>
      </c>
      <c r="E37" s="33">
        <f>D37/12/$D$2</f>
        <v>1.8922470433639946</v>
      </c>
      <c r="F37" s="34">
        <v>2</v>
      </c>
    </row>
    <row r="38" spans="1:6" ht="15">
      <c r="A38" s="10"/>
      <c r="B38" s="36" t="s">
        <v>31</v>
      </c>
      <c r="C38" s="9"/>
      <c r="D38" s="37">
        <f>SUM(D37:D37)</f>
        <v>5184</v>
      </c>
      <c r="E38" s="38">
        <f>SUM(E37:E37)</f>
        <v>1.8922470433639946</v>
      </c>
      <c r="F38" s="39"/>
    </row>
    <row r="39" spans="1:6" ht="7.5" customHeight="1">
      <c r="A39" s="26"/>
      <c r="B39" s="27"/>
      <c r="C39" s="40"/>
      <c r="D39" s="40"/>
      <c r="E39" s="40"/>
      <c r="F39" s="40"/>
    </row>
    <row r="40" spans="1:6" ht="29.25">
      <c r="A40" s="26"/>
      <c r="B40" s="27" t="s">
        <v>32</v>
      </c>
      <c r="C40" s="41">
        <f>D33+D38</f>
        <v>21653.456011750834</v>
      </c>
      <c r="D40" s="41"/>
      <c r="E40" s="41"/>
      <c r="F40" s="40"/>
    </row>
    <row r="41" spans="1:6" ht="15">
      <c r="A41" s="26"/>
      <c r="B41" s="27" t="s">
        <v>33</v>
      </c>
      <c r="C41" s="42">
        <f>E33+E38</f>
        <v>7.903875022540091</v>
      </c>
      <c r="D41" s="40"/>
      <c r="E41" s="40"/>
      <c r="F41" s="40"/>
    </row>
    <row r="42" spans="1:6" ht="7.5" customHeight="1">
      <c r="A42" s="26"/>
      <c r="B42" s="27"/>
      <c r="C42" s="42"/>
      <c r="D42" s="40"/>
      <c r="E42" s="40"/>
      <c r="F42" s="40"/>
    </row>
    <row r="43" spans="1:6" ht="30.75" customHeight="1">
      <c r="A43" s="88" t="s">
        <v>111</v>
      </c>
      <c r="B43" s="88"/>
      <c r="C43" s="88"/>
      <c r="D43" s="88"/>
      <c r="E43" s="88"/>
      <c r="F43" s="88"/>
    </row>
    <row r="44" spans="1:6" ht="6" customHeight="1">
      <c r="A44" s="1"/>
      <c r="B44" s="1"/>
      <c r="C44" s="1"/>
      <c r="D44" s="2"/>
      <c r="E44" s="2"/>
      <c r="F44" s="2"/>
    </row>
    <row r="45" spans="1:6" ht="85.5">
      <c r="A45" s="7"/>
      <c r="B45" s="8" t="s">
        <v>1</v>
      </c>
      <c r="C45" s="8" t="s">
        <v>2</v>
      </c>
      <c r="D45" s="8" t="s">
        <v>3</v>
      </c>
      <c r="E45" s="8" t="s">
        <v>4</v>
      </c>
      <c r="F45" s="2"/>
    </row>
    <row r="46" spans="1:5" ht="30" customHeight="1">
      <c r="A46" s="89" t="s">
        <v>123</v>
      </c>
      <c r="B46" s="89"/>
      <c r="C46" s="89"/>
      <c r="D46" s="17">
        <f>SUM(D47:D48)</f>
        <v>1460.0035069232845</v>
      </c>
      <c r="E46" s="17">
        <f>SUM(E47:E48)</f>
        <v>0.532925794613551</v>
      </c>
    </row>
    <row r="47" spans="1:5" ht="30" customHeight="1">
      <c r="A47" s="63" t="s">
        <v>5</v>
      </c>
      <c r="B47" s="74" t="s">
        <v>126</v>
      </c>
      <c r="C47" s="74" t="s">
        <v>149</v>
      </c>
      <c r="D47" s="15">
        <f>E47*12*$D$2</f>
        <v>1432.6075069232845</v>
      </c>
      <c r="E47" s="75">
        <f>3*E8/2</f>
        <v>0.522925794613551</v>
      </c>
    </row>
    <row r="48" spans="1:5" ht="30">
      <c r="A48" s="63" t="s">
        <v>34</v>
      </c>
      <c r="B48" s="43" t="s">
        <v>35</v>
      </c>
      <c r="C48" s="43" t="s">
        <v>42</v>
      </c>
      <c r="D48" s="15">
        <f>E48*12*$D$2</f>
        <v>27.396</v>
      </c>
      <c r="E48" s="44">
        <v>0.01</v>
      </c>
    </row>
    <row r="49" spans="1:5" ht="30" customHeight="1">
      <c r="A49" s="89" t="s">
        <v>102</v>
      </c>
      <c r="B49" s="89"/>
      <c r="C49" s="89"/>
      <c r="D49" s="17">
        <f>SUM(D50:D52)</f>
        <v>603.1920189406153</v>
      </c>
      <c r="E49" s="17">
        <f>SUM(E50:E52)</f>
        <v>0.22017521497321335</v>
      </c>
    </row>
    <row r="50" spans="1:5" ht="30" customHeight="1">
      <c r="A50" s="63" t="s">
        <v>151</v>
      </c>
      <c r="B50" s="74" t="s">
        <v>152</v>
      </c>
      <c r="C50" s="74" t="s">
        <v>153</v>
      </c>
      <c r="D50" s="15">
        <f>E50*$D$2*12</f>
        <v>54.79200000000001</v>
      </c>
      <c r="E50" s="75">
        <v>0.02</v>
      </c>
    </row>
    <row r="51" spans="1:5" ht="30" customHeight="1">
      <c r="A51" s="63" t="s">
        <v>154</v>
      </c>
      <c r="B51" s="76" t="s">
        <v>133</v>
      </c>
      <c r="C51" s="76" t="s">
        <v>155</v>
      </c>
      <c r="D51" s="15">
        <f>E51*$D$2*12</f>
        <v>396.16834045248993</v>
      </c>
      <c r="E51" s="75">
        <f>5*E12/2</f>
        <v>0.14460809623758575</v>
      </c>
    </row>
    <row r="52" spans="1:5" ht="30">
      <c r="A52" s="63" t="s">
        <v>128</v>
      </c>
      <c r="B52" s="77" t="s">
        <v>9</v>
      </c>
      <c r="C52" s="61" t="s">
        <v>150</v>
      </c>
      <c r="D52" s="15">
        <f>E52*$D$2*12</f>
        <v>152.2316784881254</v>
      </c>
      <c r="E52" s="67">
        <f>2*E15/5</f>
        <v>0.0555671187356276</v>
      </c>
    </row>
    <row r="53" spans="1:6" ht="15">
      <c r="A53" s="8"/>
      <c r="B53" s="24" t="s">
        <v>24</v>
      </c>
      <c r="C53" s="24"/>
      <c r="D53" s="25">
        <f>D46+D49</f>
        <v>2063.1955258639</v>
      </c>
      <c r="E53" s="17">
        <f>E46+E49</f>
        <v>0.7531010095867644</v>
      </c>
      <c r="F53" s="5"/>
    </row>
    <row r="54" spans="1:6" ht="5.25" customHeight="1">
      <c r="A54" s="2"/>
      <c r="B54" s="2"/>
      <c r="C54" s="2"/>
      <c r="D54" s="2"/>
      <c r="E54" s="2"/>
      <c r="F54" s="2"/>
    </row>
    <row r="55" spans="1:6" ht="7.5" customHeight="1">
      <c r="A55" s="31"/>
      <c r="B55" s="31"/>
      <c r="C55" s="31"/>
      <c r="D55" s="31"/>
      <c r="E55" s="31"/>
      <c r="F55" s="32"/>
    </row>
    <row r="56" spans="1:6" ht="105">
      <c r="A56" s="10" t="s">
        <v>25</v>
      </c>
      <c r="B56" s="10" t="s">
        <v>26</v>
      </c>
      <c r="C56" s="10" t="s">
        <v>27</v>
      </c>
      <c r="D56" s="10" t="s">
        <v>28</v>
      </c>
      <c r="E56" s="10" t="s">
        <v>36</v>
      </c>
      <c r="F56" s="10" t="s">
        <v>30</v>
      </c>
    </row>
    <row r="57" spans="1:6" ht="15">
      <c r="A57" s="10">
        <v>1</v>
      </c>
      <c r="B57" s="7" t="s">
        <v>165</v>
      </c>
      <c r="C57" s="10" t="s">
        <v>183</v>
      </c>
      <c r="D57" s="10">
        <v>5184</v>
      </c>
      <c r="E57" s="46">
        <f>D57/12/$D$2</f>
        <v>1.8922470433639946</v>
      </c>
      <c r="F57" s="34">
        <v>2</v>
      </c>
    </row>
    <row r="58" spans="1:6" ht="15">
      <c r="A58" s="47"/>
      <c r="B58" s="47" t="s">
        <v>31</v>
      </c>
      <c r="C58" s="47"/>
      <c r="D58" s="48">
        <f>SUM(D57:D57)</f>
        <v>5184</v>
      </c>
      <c r="E58" s="49">
        <f>SUM(E57:E57)</f>
        <v>1.8922470433639946</v>
      </c>
      <c r="F58" s="47"/>
    </row>
    <row r="63" spans="2:3" ht="43.5">
      <c r="B63" s="27" t="s">
        <v>101</v>
      </c>
      <c r="C63" s="58">
        <f>C40</f>
        <v>21653.456011750834</v>
      </c>
    </row>
  </sheetData>
  <mergeCells count="11">
    <mergeCell ref="A4:E4"/>
    <mergeCell ref="A17:C17"/>
    <mergeCell ref="A20:C20"/>
    <mergeCell ref="A25:C25"/>
    <mergeCell ref="A7:C7"/>
    <mergeCell ref="A11:C11"/>
    <mergeCell ref="A49:C49"/>
    <mergeCell ref="A28:C28"/>
    <mergeCell ref="A43:F43"/>
    <mergeCell ref="A46:C46"/>
    <mergeCell ref="A30:C30"/>
  </mergeCells>
  <printOptions/>
  <pageMargins left="0.7874015748031497" right="0.2362204724409449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25">
      <selection activeCell="D17" sqref="D17"/>
    </sheetView>
  </sheetViews>
  <sheetFormatPr defaultColWidth="9.140625" defaultRowHeight="12.75"/>
  <cols>
    <col min="1" max="1" width="3.421875" style="3" customWidth="1"/>
    <col min="2" max="2" width="40.421875" style="3" customWidth="1"/>
    <col min="3" max="3" width="17.421875" style="3" customWidth="1"/>
    <col min="4" max="4" width="11.28125" style="3" customWidth="1"/>
    <col min="5" max="5" width="12.57421875" style="3" customWidth="1"/>
    <col min="6" max="6" width="8.57421875" style="3" customWidth="1"/>
    <col min="7" max="16384" width="9.140625" style="3" customWidth="1"/>
  </cols>
  <sheetData>
    <row r="1" ht="15">
      <c r="B1" s="56" t="s">
        <v>53</v>
      </c>
    </row>
    <row r="2" spans="1:6" ht="24" customHeight="1">
      <c r="A2" s="2"/>
      <c r="B2" s="1" t="s">
        <v>201</v>
      </c>
      <c r="C2" s="4"/>
      <c r="D2" s="50">
        <v>12.6</v>
      </c>
      <c r="E2" s="5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40.5" customHeight="1">
      <c r="A4" s="88" t="s">
        <v>104</v>
      </c>
      <c r="B4" s="88"/>
      <c r="C4" s="88"/>
      <c r="D4" s="88"/>
      <c r="E4" s="88"/>
      <c r="F4" s="2"/>
    </row>
    <row r="5" spans="1:6" ht="15">
      <c r="A5" s="1"/>
      <c r="B5" s="1"/>
      <c r="C5" s="1"/>
      <c r="D5" s="1"/>
      <c r="E5" s="1"/>
      <c r="F5" s="2"/>
    </row>
    <row r="6" spans="1:6" ht="85.5">
      <c r="A6" s="7"/>
      <c r="B6" s="8" t="s">
        <v>1</v>
      </c>
      <c r="C6" s="8" t="s">
        <v>2</v>
      </c>
      <c r="D6" s="8" t="s">
        <v>3</v>
      </c>
      <c r="E6" s="8" t="s">
        <v>4</v>
      </c>
      <c r="F6" s="2"/>
    </row>
    <row r="7" spans="1:7" ht="15">
      <c r="A7" s="90" t="s">
        <v>37</v>
      </c>
      <c r="B7" s="91"/>
      <c r="C7" s="92"/>
      <c r="D7" s="17">
        <f>SUM(D8:D9)</f>
        <v>134.56799999999998</v>
      </c>
      <c r="E7" s="17">
        <f>SUM(E8:E9)</f>
        <v>0.8899999999999999</v>
      </c>
      <c r="F7" s="20"/>
      <c r="G7" s="19"/>
    </row>
    <row r="8" spans="1:7" ht="15.75" customHeight="1">
      <c r="A8" s="12">
        <v>1</v>
      </c>
      <c r="B8" s="7" t="s">
        <v>11</v>
      </c>
      <c r="C8" s="14" t="s">
        <v>12</v>
      </c>
      <c r="D8" s="15">
        <f>E8*$D$2*12</f>
        <v>123.07679999999999</v>
      </c>
      <c r="E8" s="53">
        <v>0.814</v>
      </c>
      <c r="F8" s="18"/>
      <c r="G8" s="19"/>
    </row>
    <row r="9" spans="1:7" ht="30">
      <c r="A9" s="12">
        <v>2</v>
      </c>
      <c r="B9" s="13" t="s">
        <v>13</v>
      </c>
      <c r="C9" s="13" t="s">
        <v>14</v>
      </c>
      <c r="D9" s="15">
        <f>E9*$D$2*12</f>
        <v>11.4912</v>
      </c>
      <c r="E9" s="53">
        <v>0.076</v>
      </c>
      <c r="F9" s="18"/>
      <c r="G9" s="19"/>
    </row>
    <row r="10" spans="1:7" ht="29.25" customHeight="1">
      <c r="A10" s="90" t="s">
        <v>103</v>
      </c>
      <c r="B10" s="93"/>
      <c r="C10" s="94"/>
      <c r="D10" s="22">
        <f>SUM(D11:D11)</f>
        <v>12.245356208588644</v>
      </c>
      <c r="E10" s="22">
        <f>SUM(E11:E11)</f>
        <v>0.08098780561235876</v>
      </c>
      <c r="F10" s="18"/>
      <c r="G10" s="19"/>
    </row>
    <row r="11" spans="1:6" ht="75" customHeight="1">
      <c r="A11" s="12">
        <v>3</v>
      </c>
      <c r="B11" s="13" t="s">
        <v>38</v>
      </c>
      <c r="C11" s="13" t="s">
        <v>7</v>
      </c>
      <c r="D11" s="15">
        <f>E11*12*$D$2</f>
        <v>12.245356208588644</v>
      </c>
      <c r="E11" s="15">
        <v>0.08098780561235876</v>
      </c>
      <c r="F11" s="2"/>
    </row>
    <row r="12" spans="1:9" ht="15">
      <c r="A12" s="95" t="s">
        <v>39</v>
      </c>
      <c r="B12" s="96"/>
      <c r="C12" s="96"/>
      <c r="D12" s="11">
        <f>SUM(D13:D14)</f>
        <v>47.235457110664875</v>
      </c>
      <c r="E12" s="11">
        <f>SUM(E13:E14)</f>
        <v>0.3124038168694767</v>
      </c>
      <c r="F12" s="2"/>
      <c r="G12" s="51"/>
      <c r="H12" s="51"/>
      <c r="I12" s="52"/>
    </row>
    <row r="13" spans="1:9" ht="75">
      <c r="A13" s="12">
        <v>4</v>
      </c>
      <c r="B13" s="13" t="s">
        <v>44</v>
      </c>
      <c r="C13" s="13" t="s">
        <v>7</v>
      </c>
      <c r="D13" s="15">
        <f>E13*12*$D$2</f>
        <v>12.559089625909627</v>
      </c>
      <c r="E13" s="15">
        <v>0.08306276207612187</v>
      </c>
      <c r="F13" s="2"/>
      <c r="G13" s="51"/>
      <c r="H13" s="51"/>
      <c r="I13" s="52"/>
    </row>
    <row r="14" spans="1:9" ht="60">
      <c r="A14" s="12">
        <v>5</v>
      </c>
      <c r="B14" s="13" t="s">
        <v>19</v>
      </c>
      <c r="C14" s="13" t="s">
        <v>45</v>
      </c>
      <c r="D14" s="15">
        <f>E14*12*$D$2</f>
        <v>34.67636748475525</v>
      </c>
      <c r="E14" s="21">
        <v>0.22934105479335481</v>
      </c>
      <c r="F14" s="2"/>
      <c r="G14" s="51"/>
      <c r="H14" s="51"/>
      <c r="I14" s="52"/>
    </row>
    <row r="15" spans="1:9" ht="15">
      <c r="A15" s="95" t="s">
        <v>41</v>
      </c>
      <c r="B15" s="95"/>
      <c r="C15" s="95"/>
      <c r="D15" s="23">
        <f>SUM(D16)</f>
        <v>75.9528</v>
      </c>
      <c r="E15" s="22">
        <f>SUM(E16)</f>
        <v>0.5023333333333333</v>
      </c>
      <c r="F15" s="2"/>
      <c r="G15" s="54"/>
      <c r="H15" s="54"/>
      <c r="I15" s="54"/>
    </row>
    <row r="16" spans="1:10" ht="15">
      <c r="A16" s="12">
        <v>6</v>
      </c>
      <c r="B16" s="13" t="s">
        <v>21</v>
      </c>
      <c r="C16" s="13" t="s">
        <v>22</v>
      </c>
      <c r="D16" s="15">
        <f>E16*12*$D$2</f>
        <v>75.9528</v>
      </c>
      <c r="E16" s="53">
        <v>0.5023333333333333</v>
      </c>
      <c r="F16" s="2"/>
      <c r="H16" s="51"/>
      <c r="I16" s="51"/>
      <c r="J16" s="52"/>
    </row>
    <row r="17" spans="1:10" ht="15">
      <c r="A17" s="8"/>
      <c r="B17" s="24" t="s">
        <v>24</v>
      </c>
      <c r="C17" s="24"/>
      <c r="D17" s="25">
        <f>D7+D10+D12+D15</f>
        <v>270.00161331925347</v>
      </c>
      <c r="E17" s="17">
        <f>E7+E10+E12+E15</f>
        <v>1.7857249558151687</v>
      </c>
      <c r="F17" s="5"/>
      <c r="H17" s="54"/>
      <c r="I17" s="54"/>
      <c r="J17" s="54"/>
    </row>
    <row r="18" spans="1:6" ht="15">
      <c r="A18" s="26"/>
      <c r="B18" s="27"/>
      <c r="C18" s="28"/>
      <c r="D18" s="29"/>
      <c r="E18" s="30"/>
      <c r="F18" s="2"/>
    </row>
    <row r="19" spans="1:6" ht="105">
      <c r="A19" s="10" t="s">
        <v>25</v>
      </c>
      <c r="B19" s="10" t="s">
        <v>26</v>
      </c>
      <c r="C19" s="10" t="s">
        <v>27</v>
      </c>
      <c r="D19" s="10" t="s">
        <v>28</v>
      </c>
      <c r="E19" s="10" t="s">
        <v>29</v>
      </c>
      <c r="F19" s="10" t="s">
        <v>30</v>
      </c>
    </row>
    <row r="20" spans="1:6" ht="15">
      <c r="A20" s="10">
        <v>1</v>
      </c>
      <c r="B20" s="7" t="s">
        <v>110</v>
      </c>
      <c r="C20" s="10" t="s">
        <v>68</v>
      </c>
      <c r="D20" s="10">
        <v>251.5</v>
      </c>
      <c r="E20" s="33">
        <f>D20/12/$D$2</f>
        <v>1.6633597883597884</v>
      </c>
      <c r="F20" s="34">
        <v>2</v>
      </c>
    </row>
    <row r="21" spans="1:6" ht="15">
      <c r="A21" s="10"/>
      <c r="B21" s="36" t="s">
        <v>31</v>
      </c>
      <c r="C21" s="9"/>
      <c r="D21" s="37">
        <f>SUM(D20:D20)</f>
        <v>251.5</v>
      </c>
      <c r="E21" s="38">
        <f>SUM(E20:E20)</f>
        <v>1.6633597883597884</v>
      </c>
      <c r="F21" s="39"/>
    </row>
    <row r="22" spans="1:6" ht="15">
      <c r="A22" s="26"/>
      <c r="B22" s="27"/>
      <c r="C22" s="40"/>
      <c r="D22" s="40"/>
      <c r="E22" s="40"/>
      <c r="F22" s="40"/>
    </row>
    <row r="23" spans="1:6" ht="29.25">
      <c r="A23" s="26"/>
      <c r="B23" s="27" t="s">
        <v>32</v>
      </c>
      <c r="C23" s="41">
        <f>D17+D21</f>
        <v>521.5016133192535</v>
      </c>
      <c r="D23" s="41"/>
      <c r="E23" s="41"/>
      <c r="F23" s="40"/>
    </row>
    <row r="24" spans="1:6" ht="15">
      <c r="A24" s="26"/>
      <c r="B24" s="27" t="s">
        <v>33</v>
      </c>
      <c r="C24" s="42">
        <f>E17+E21</f>
        <v>3.4490847441749573</v>
      </c>
      <c r="D24" s="40"/>
      <c r="E24" s="40"/>
      <c r="F24" s="40"/>
    </row>
    <row r="25" spans="1:6" ht="15">
      <c r="A25" s="26"/>
      <c r="B25" s="27"/>
      <c r="C25" s="42"/>
      <c r="D25" s="40"/>
      <c r="E25" s="40"/>
      <c r="F25" s="40"/>
    </row>
    <row r="26" spans="1:6" ht="33" customHeight="1">
      <c r="A26" s="88" t="s">
        <v>105</v>
      </c>
      <c r="B26" s="88"/>
      <c r="C26" s="88"/>
      <c r="D26" s="88"/>
      <c r="E26" s="88"/>
      <c r="F26" s="88"/>
    </row>
    <row r="27" spans="1:6" ht="15">
      <c r="A27" s="1"/>
      <c r="B27" s="1"/>
      <c r="C27" s="1"/>
      <c r="D27" s="2"/>
      <c r="E27" s="2"/>
      <c r="F27" s="2"/>
    </row>
    <row r="28" spans="1:6" ht="85.5">
      <c r="A28" s="7"/>
      <c r="B28" s="8" t="s">
        <v>1</v>
      </c>
      <c r="C28" s="8" t="s">
        <v>2</v>
      </c>
      <c r="D28" s="8" t="s">
        <v>3</v>
      </c>
      <c r="E28" s="8" t="s">
        <v>4</v>
      </c>
      <c r="F28" s="2"/>
    </row>
    <row r="29" spans="1:5" ht="30" customHeight="1">
      <c r="A29" s="89" t="s">
        <v>123</v>
      </c>
      <c r="B29" s="89"/>
      <c r="C29" s="89"/>
      <c r="D29" s="17">
        <f>D30</f>
        <v>1.512</v>
      </c>
      <c r="E29" s="17">
        <f>E30</f>
        <v>0.01</v>
      </c>
    </row>
    <row r="30" spans="1:5" ht="30">
      <c r="A30" s="12" t="s">
        <v>5</v>
      </c>
      <c r="B30" s="43" t="s">
        <v>35</v>
      </c>
      <c r="C30" s="43" t="s">
        <v>42</v>
      </c>
      <c r="D30" s="15">
        <f>E30*12*$D$2</f>
        <v>1.512</v>
      </c>
      <c r="E30" s="44">
        <v>0.01</v>
      </c>
    </row>
    <row r="31" spans="1:5" ht="30" customHeight="1">
      <c r="A31" s="89" t="s">
        <v>102</v>
      </c>
      <c r="B31" s="89"/>
      <c r="C31" s="89"/>
      <c r="D31" s="17">
        <f>D32</f>
        <v>9.072</v>
      </c>
      <c r="E31" s="17">
        <f>E32</f>
        <v>0.06</v>
      </c>
    </row>
    <row r="32" spans="1:5" ht="15">
      <c r="A32" s="12" t="s">
        <v>34</v>
      </c>
      <c r="B32" s="45" t="s">
        <v>9</v>
      </c>
      <c r="C32" s="7" t="s">
        <v>42</v>
      </c>
      <c r="D32" s="15">
        <f>E32*$D$2*12</f>
        <v>9.072</v>
      </c>
      <c r="E32" s="16">
        <v>0.06</v>
      </c>
    </row>
    <row r="33" spans="1:6" ht="15">
      <c r="A33" s="8"/>
      <c r="B33" s="24" t="s">
        <v>24</v>
      </c>
      <c r="C33" s="24"/>
      <c r="D33" s="25">
        <f>D29+D31</f>
        <v>10.584</v>
      </c>
      <c r="E33" s="17">
        <f>E29+E31</f>
        <v>0.06999999999999999</v>
      </c>
      <c r="F33" s="5"/>
    </row>
    <row r="34" spans="1:6" ht="15">
      <c r="A34" s="2"/>
      <c r="B34" s="2"/>
      <c r="C34" s="2"/>
      <c r="D34" s="2"/>
      <c r="E34" s="2"/>
      <c r="F34" s="2"/>
    </row>
    <row r="35" spans="1:6" ht="15">
      <c r="A35" s="27"/>
      <c r="B35" s="27"/>
      <c r="C35" s="27"/>
      <c r="D35" s="27"/>
      <c r="E35" s="27"/>
      <c r="F35" s="26"/>
    </row>
    <row r="38" spans="2:3" ht="43.5">
      <c r="B38" s="27" t="s">
        <v>79</v>
      </c>
      <c r="C38" s="58">
        <f>C23</f>
        <v>521.5016133192535</v>
      </c>
    </row>
  </sheetData>
  <mergeCells count="8">
    <mergeCell ref="A4:E4"/>
    <mergeCell ref="A7:C7"/>
    <mergeCell ref="A10:C10"/>
    <mergeCell ref="A12:C12"/>
    <mergeCell ref="A15:C15"/>
    <mergeCell ref="A26:F26"/>
    <mergeCell ref="A29:C29"/>
    <mergeCell ref="A31:C31"/>
  </mergeCells>
  <printOptions/>
  <pageMargins left="0.7874015748031497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2"/>
  <sheetViews>
    <sheetView workbookViewId="0" topLeftCell="A184">
      <selection activeCell="B203" sqref="B203"/>
    </sheetView>
  </sheetViews>
  <sheetFormatPr defaultColWidth="9.140625" defaultRowHeight="12.75"/>
  <cols>
    <col min="1" max="1" width="3.421875" style="3" customWidth="1"/>
    <col min="2" max="2" width="40.421875" style="3" customWidth="1"/>
    <col min="3" max="3" width="17.421875" style="3" customWidth="1"/>
    <col min="4" max="4" width="11.28125" style="3" customWidth="1"/>
    <col min="5" max="5" width="12.57421875" style="3" customWidth="1"/>
    <col min="6" max="6" width="8.57421875" style="3" customWidth="1"/>
    <col min="7" max="16384" width="9.140625" style="3" customWidth="1"/>
  </cols>
  <sheetData>
    <row r="1" ht="15">
      <c r="B1" s="56" t="s">
        <v>54</v>
      </c>
    </row>
    <row r="2" spans="1:6" ht="24" customHeight="1">
      <c r="A2" s="2"/>
      <c r="B2" s="1" t="s">
        <v>204</v>
      </c>
      <c r="C2" s="4"/>
      <c r="D2" s="57">
        <v>80</v>
      </c>
      <c r="E2" s="5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40.5" customHeight="1">
      <c r="A4" s="88" t="s">
        <v>104</v>
      </c>
      <c r="B4" s="88"/>
      <c r="C4" s="88"/>
      <c r="D4" s="88"/>
      <c r="E4" s="88"/>
      <c r="F4" s="2"/>
    </row>
    <row r="5" spans="1:6" ht="15">
      <c r="A5" s="1"/>
      <c r="B5" s="1"/>
      <c r="C5" s="1"/>
      <c r="D5" s="1"/>
      <c r="E5" s="1"/>
      <c r="F5" s="2"/>
    </row>
    <row r="6" spans="1:6" ht="85.5">
      <c r="A6" s="7"/>
      <c r="B6" s="8" t="s">
        <v>1</v>
      </c>
      <c r="C6" s="8" t="s">
        <v>2</v>
      </c>
      <c r="D6" s="8" t="s">
        <v>3</v>
      </c>
      <c r="E6" s="8" t="s">
        <v>4</v>
      </c>
      <c r="F6" s="2"/>
    </row>
    <row r="7" spans="1:7" ht="15">
      <c r="A7" s="90" t="s">
        <v>37</v>
      </c>
      <c r="B7" s="91"/>
      <c r="C7" s="92"/>
      <c r="D7" s="17">
        <f>SUM(D8:D9)</f>
        <v>403.7137315399699</v>
      </c>
      <c r="E7" s="17">
        <f>SUM(E8:E9)</f>
        <v>0.420535137020802</v>
      </c>
      <c r="F7" s="20"/>
      <c r="G7" s="19"/>
    </row>
    <row r="8" spans="1:7" ht="15.75" customHeight="1">
      <c r="A8" s="12">
        <v>1</v>
      </c>
      <c r="B8" s="7" t="s">
        <v>11</v>
      </c>
      <c r="C8" s="14" t="s">
        <v>12</v>
      </c>
      <c r="D8" s="15">
        <f>E8*$D$2*12</f>
        <v>369.3629748764592</v>
      </c>
      <c r="E8" s="53">
        <v>0.384753098829645</v>
      </c>
      <c r="F8" s="18"/>
      <c r="G8" s="19"/>
    </row>
    <row r="9" spans="1:7" ht="30">
      <c r="A9" s="12">
        <v>2</v>
      </c>
      <c r="B9" s="13" t="s">
        <v>13</v>
      </c>
      <c r="C9" s="13" t="s">
        <v>14</v>
      </c>
      <c r="D9" s="15">
        <f>E9*$D$2*12</f>
        <v>34.35075666351071</v>
      </c>
      <c r="E9" s="53">
        <v>0.03578203819115699</v>
      </c>
      <c r="F9" s="18"/>
      <c r="G9" s="19"/>
    </row>
    <row r="10" spans="1:7" ht="29.25" customHeight="1">
      <c r="A10" s="90" t="s">
        <v>103</v>
      </c>
      <c r="B10" s="93"/>
      <c r="C10" s="94"/>
      <c r="D10" s="22">
        <f>SUM(D11:D11)</f>
        <v>17.493366012269497</v>
      </c>
      <c r="E10" s="22">
        <f>SUM(E11:E11)</f>
        <v>0.018222256262780727</v>
      </c>
      <c r="F10" s="18"/>
      <c r="G10" s="19"/>
    </row>
    <row r="11" spans="1:10" ht="75" customHeight="1">
      <c r="A11" s="12">
        <v>3</v>
      </c>
      <c r="B11" s="13" t="s">
        <v>38</v>
      </c>
      <c r="C11" s="13" t="s">
        <v>7</v>
      </c>
      <c r="D11" s="15">
        <f>E11*12*$D$2</f>
        <v>17.493366012269497</v>
      </c>
      <c r="E11" s="15">
        <v>0.018222256262780727</v>
      </c>
      <c r="F11" s="2"/>
      <c r="H11" s="51"/>
      <c r="I11" s="51"/>
      <c r="J11" s="52"/>
    </row>
    <row r="12" spans="1:9" ht="15">
      <c r="A12" s="95" t="s">
        <v>39</v>
      </c>
      <c r="B12" s="96"/>
      <c r="C12" s="96"/>
      <c r="D12" s="11">
        <f>SUM(D13:D14)</f>
        <v>1334.5847746089123</v>
      </c>
      <c r="E12" s="11">
        <f>SUM(E13:E14)</f>
        <v>1.3901924735509503</v>
      </c>
      <c r="F12" s="2"/>
      <c r="G12" s="51"/>
      <c r="H12" s="51"/>
      <c r="I12" s="52"/>
    </row>
    <row r="13" spans="1:9" ht="75">
      <c r="A13" s="12">
        <v>4</v>
      </c>
      <c r="B13" s="13" t="s">
        <v>48</v>
      </c>
      <c r="C13" s="13" t="s">
        <v>7</v>
      </c>
      <c r="D13" s="15">
        <f>E13*12*$D$2</f>
        <v>150.9859925289123</v>
      </c>
      <c r="E13" s="15">
        <v>0.1572770755509503</v>
      </c>
      <c r="F13" s="2"/>
      <c r="G13" s="51"/>
      <c r="H13" s="51"/>
      <c r="I13" s="52"/>
    </row>
    <row r="14" spans="1:9" ht="90">
      <c r="A14" s="12">
        <v>5</v>
      </c>
      <c r="B14" s="13" t="s">
        <v>19</v>
      </c>
      <c r="C14" s="13" t="s">
        <v>49</v>
      </c>
      <c r="D14" s="15">
        <f>E14*12*$D$2</f>
        <v>1183.59878208</v>
      </c>
      <c r="E14" s="21">
        <v>1.232915398</v>
      </c>
      <c r="F14" s="2"/>
      <c r="G14" s="51"/>
      <c r="H14" s="51"/>
      <c r="I14" s="52"/>
    </row>
    <row r="15" spans="1:9" ht="15">
      <c r="A15" s="95" t="s">
        <v>41</v>
      </c>
      <c r="B15" s="95"/>
      <c r="C15" s="95"/>
      <c r="D15" s="23">
        <f>SUM(D16)</f>
        <v>93.504</v>
      </c>
      <c r="E15" s="22">
        <f>SUM(E16)</f>
        <v>0.0974</v>
      </c>
      <c r="F15" s="2"/>
      <c r="G15" s="54"/>
      <c r="H15" s="54"/>
      <c r="I15" s="54"/>
    </row>
    <row r="16" spans="1:15" ht="15">
      <c r="A16" s="12">
        <v>6</v>
      </c>
      <c r="B16" s="13" t="s">
        <v>21</v>
      </c>
      <c r="C16" s="13" t="s">
        <v>22</v>
      </c>
      <c r="D16" s="15">
        <f>E16*12*$D$2</f>
        <v>93.504</v>
      </c>
      <c r="E16" s="53">
        <v>0.0974</v>
      </c>
      <c r="F16" s="2"/>
      <c r="H16" s="51"/>
      <c r="I16" s="51"/>
      <c r="J16" s="51"/>
      <c r="K16" s="51"/>
      <c r="L16" s="51"/>
      <c r="M16" s="51"/>
      <c r="N16" s="51"/>
      <c r="O16" s="52"/>
    </row>
    <row r="17" spans="1:15" ht="15">
      <c r="A17" s="8"/>
      <c r="B17" s="24" t="s">
        <v>24</v>
      </c>
      <c r="C17" s="24"/>
      <c r="D17" s="25">
        <f>D7+D10+D12+D15</f>
        <v>1849.2958721611517</v>
      </c>
      <c r="E17" s="17">
        <f>E7+E10+E12+E15</f>
        <v>1.926349866834533</v>
      </c>
      <c r="F17" s="5"/>
      <c r="H17" s="51"/>
      <c r="I17" s="51"/>
      <c r="J17" s="52"/>
      <c r="K17" s="54"/>
      <c r="L17" s="54"/>
      <c r="M17" s="54"/>
      <c r="N17" s="54"/>
      <c r="O17" s="54"/>
    </row>
    <row r="18" spans="1:6" ht="15">
      <c r="A18" s="26"/>
      <c r="B18" s="27"/>
      <c r="C18" s="28"/>
      <c r="D18" s="29"/>
      <c r="E18" s="30"/>
      <c r="F18" s="2"/>
    </row>
    <row r="19" spans="1:6" ht="105">
      <c r="A19" s="10" t="s">
        <v>25</v>
      </c>
      <c r="B19" s="10" t="s">
        <v>26</v>
      </c>
      <c r="C19" s="10" t="s">
        <v>27</v>
      </c>
      <c r="D19" s="10" t="s">
        <v>28</v>
      </c>
      <c r="E19" s="10" t="s">
        <v>29</v>
      </c>
      <c r="F19" s="10" t="s">
        <v>30</v>
      </c>
    </row>
    <row r="20" spans="1:6" ht="15">
      <c r="A20" s="10">
        <v>1</v>
      </c>
      <c r="B20" s="7" t="s">
        <v>110</v>
      </c>
      <c r="C20" s="10" t="s">
        <v>119</v>
      </c>
      <c r="D20" s="10">
        <v>1760.5</v>
      </c>
      <c r="E20" s="33">
        <f>D20/12/$D$2</f>
        <v>1.8338541666666668</v>
      </c>
      <c r="F20" s="34">
        <v>2</v>
      </c>
    </row>
    <row r="21" spans="1:6" ht="15">
      <c r="A21" s="10"/>
      <c r="B21" s="36" t="s">
        <v>31</v>
      </c>
      <c r="C21" s="9"/>
      <c r="D21" s="37">
        <f>SUM(D20:D20)</f>
        <v>1760.5</v>
      </c>
      <c r="E21" s="38">
        <f>SUM(E20:E20)</f>
        <v>1.8338541666666668</v>
      </c>
      <c r="F21" s="39"/>
    </row>
    <row r="22" spans="1:6" ht="9" customHeight="1">
      <c r="A22" s="26"/>
      <c r="B22" s="27"/>
      <c r="C22" s="40"/>
      <c r="D22" s="40"/>
      <c r="E22" s="40"/>
      <c r="F22" s="40"/>
    </row>
    <row r="23" spans="1:6" ht="29.25">
      <c r="A23" s="26"/>
      <c r="B23" s="27" t="s">
        <v>32</v>
      </c>
      <c r="C23" s="41">
        <f>D17+D21</f>
        <v>3609.7958721611517</v>
      </c>
      <c r="D23" s="41"/>
      <c r="E23" s="41"/>
      <c r="F23" s="40"/>
    </row>
    <row r="24" spans="1:6" ht="15">
      <c r="A24" s="26"/>
      <c r="B24" s="27" t="s">
        <v>33</v>
      </c>
      <c r="C24" s="42">
        <f>E17+E21</f>
        <v>3.7602040335012</v>
      </c>
      <c r="D24" s="40"/>
      <c r="E24" s="40"/>
      <c r="F24" s="40"/>
    </row>
    <row r="25" spans="1:6" ht="6" customHeight="1">
      <c r="A25" s="26"/>
      <c r="B25" s="27"/>
      <c r="C25" s="42"/>
      <c r="D25" s="40"/>
      <c r="E25" s="40"/>
      <c r="F25" s="40"/>
    </row>
    <row r="26" spans="1:6" ht="33" customHeight="1">
      <c r="A26" s="88" t="s">
        <v>105</v>
      </c>
      <c r="B26" s="88"/>
      <c r="C26" s="88"/>
      <c r="D26" s="88"/>
      <c r="E26" s="88"/>
      <c r="F26" s="88"/>
    </row>
    <row r="27" spans="1:6" ht="15">
      <c r="A27" s="1"/>
      <c r="B27" s="1"/>
      <c r="C27" s="1"/>
      <c r="D27" s="2"/>
      <c r="E27" s="2"/>
      <c r="F27" s="2"/>
    </row>
    <row r="28" spans="1:6" ht="85.5">
      <c r="A28" s="7"/>
      <c r="B28" s="8" t="s">
        <v>1</v>
      </c>
      <c r="C28" s="8" t="s">
        <v>2</v>
      </c>
      <c r="D28" s="8" t="s">
        <v>3</v>
      </c>
      <c r="E28" s="8" t="s">
        <v>4</v>
      </c>
      <c r="F28" s="2"/>
    </row>
    <row r="29" spans="1:5" ht="30" customHeight="1">
      <c r="A29" s="89" t="s">
        <v>123</v>
      </c>
      <c r="B29" s="89"/>
      <c r="C29" s="89"/>
      <c r="D29" s="17">
        <f>D30</f>
        <v>9.6</v>
      </c>
      <c r="E29" s="17">
        <f>E30</f>
        <v>0.01</v>
      </c>
    </row>
    <row r="30" spans="1:5" ht="30">
      <c r="A30" s="12" t="s">
        <v>5</v>
      </c>
      <c r="B30" s="43" t="s">
        <v>35</v>
      </c>
      <c r="C30" s="43" t="s">
        <v>42</v>
      </c>
      <c r="D30" s="15">
        <f>E30*12*$D$2</f>
        <v>9.6</v>
      </c>
      <c r="E30" s="44">
        <v>0.01</v>
      </c>
    </row>
    <row r="31" spans="1:5" ht="30" customHeight="1">
      <c r="A31" s="89" t="s">
        <v>102</v>
      </c>
      <c r="B31" s="89"/>
      <c r="C31" s="89"/>
      <c r="D31" s="17">
        <f>D32</f>
        <v>57.599999999999994</v>
      </c>
      <c r="E31" s="17">
        <f>E32</f>
        <v>0.06</v>
      </c>
    </row>
    <row r="32" spans="1:5" ht="15">
      <c r="A32" s="12" t="s">
        <v>34</v>
      </c>
      <c r="B32" s="45" t="s">
        <v>9</v>
      </c>
      <c r="C32" s="7" t="s">
        <v>42</v>
      </c>
      <c r="D32" s="15">
        <f>E32*$D$2*12</f>
        <v>57.599999999999994</v>
      </c>
      <c r="E32" s="16">
        <v>0.06</v>
      </c>
    </row>
    <row r="33" spans="1:6" ht="15">
      <c r="A33" s="8"/>
      <c r="B33" s="24" t="s">
        <v>24</v>
      </c>
      <c r="C33" s="24"/>
      <c r="D33" s="25">
        <f>D29+D31</f>
        <v>67.19999999999999</v>
      </c>
      <c r="E33" s="17">
        <f>E29+E31</f>
        <v>0.06999999999999999</v>
      </c>
      <c r="F33" s="5"/>
    </row>
    <row r="34" spans="1:6" ht="15">
      <c r="A34" s="2"/>
      <c r="B34" s="2"/>
      <c r="C34" s="2"/>
      <c r="D34" s="2"/>
      <c r="E34" s="2"/>
      <c r="F34" s="2"/>
    </row>
    <row r="35" spans="1:6" ht="15">
      <c r="A35" s="31"/>
      <c r="B35" s="31"/>
      <c r="C35" s="31"/>
      <c r="D35" s="31"/>
      <c r="E35" s="31"/>
      <c r="F35" s="32"/>
    </row>
    <row r="36" spans="1:6" ht="105">
      <c r="A36" s="10" t="s">
        <v>25</v>
      </c>
      <c r="B36" s="10" t="s">
        <v>26</v>
      </c>
      <c r="C36" s="10" t="s">
        <v>27</v>
      </c>
      <c r="D36" s="10" t="s">
        <v>28</v>
      </c>
      <c r="E36" s="10" t="s">
        <v>36</v>
      </c>
      <c r="F36" s="10" t="s">
        <v>30</v>
      </c>
    </row>
    <row r="37" spans="1:6" ht="15">
      <c r="A37" s="10">
        <v>1</v>
      </c>
      <c r="B37" s="7" t="s">
        <v>110</v>
      </c>
      <c r="C37" s="10" t="s">
        <v>119</v>
      </c>
      <c r="D37" s="10">
        <v>1760.5</v>
      </c>
      <c r="E37" s="46">
        <f>D37/12/$D$2</f>
        <v>1.8338541666666668</v>
      </c>
      <c r="F37" s="10">
        <v>2</v>
      </c>
    </row>
    <row r="38" spans="1:6" ht="15">
      <c r="A38" s="47"/>
      <c r="B38" s="47" t="s">
        <v>31</v>
      </c>
      <c r="C38" s="47"/>
      <c r="D38" s="48">
        <f>SUM(D37:D37)</f>
        <v>1760.5</v>
      </c>
      <c r="E38" s="49">
        <f>SUM(E37:E37)</f>
        <v>1.8338541666666668</v>
      </c>
      <c r="F38" s="47"/>
    </row>
    <row r="40" ht="5.25" customHeight="1"/>
    <row r="41" spans="1:6" ht="15">
      <c r="A41" s="2"/>
      <c r="B41" s="1" t="s">
        <v>206</v>
      </c>
      <c r="C41" s="4"/>
      <c r="D41" s="50">
        <v>93.4</v>
      </c>
      <c r="E41" s="5" t="s">
        <v>0</v>
      </c>
      <c r="F41" s="2"/>
    </row>
    <row r="42" spans="1:6" ht="15">
      <c r="A42" s="2"/>
      <c r="B42" s="6"/>
      <c r="C42" s="2"/>
      <c r="D42" s="2"/>
      <c r="E42" s="2"/>
      <c r="F42" s="2"/>
    </row>
    <row r="43" spans="1:6" ht="30" customHeight="1">
      <c r="A43" s="88" t="s">
        <v>104</v>
      </c>
      <c r="B43" s="88"/>
      <c r="C43" s="88"/>
      <c r="D43" s="88"/>
      <c r="E43" s="88"/>
      <c r="F43" s="2"/>
    </row>
    <row r="44" spans="1:6" ht="15">
      <c r="A44" s="1"/>
      <c r="B44" s="1"/>
      <c r="C44" s="1"/>
      <c r="D44" s="1"/>
      <c r="E44" s="1"/>
      <c r="F44" s="2"/>
    </row>
    <row r="45" spans="1:6" ht="85.5">
      <c r="A45" s="7"/>
      <c r="B45" s="8" t="s">
        <v>1</v>
      </c>
      <c r="C45" s="8" t="s">
        <v>2</v>
      </c>
      <c r="D45" s="8" t="s">
        <v>3</v>
      </c>
      <c r="E45" s="8" t="s">
        <v>4</v>
      </c>
      <c r="F45" s="2"/>
    </row>
    <row r="46" spans="1:6" ht="15">
      <c r="A46" s="90" t="s">
        <v>37</v>
      </c>
      <c r="B46" s="91"/>
      <c r="C46" s="92"/>
      <c r="D46" s="17">
        <f>SUM(D47:D48)</f>
        <v>403.71373153996996</v>
      </c>
      <c r="E46" s="17">
        <f>SUM(E47:E48)</f>
        <v>0.3602014021591452</v>
      </c>
      <c r="F46" s="20"/>
    </row>
    <row r="47" spans="1:6" ht="15">
      <c r="A47" s="12">
        <v>1</v>
      </c>
      <c r="B47" s="7" t="s">
        <v>11</v>
      </c>
      <c r="C47" s="14" t="s">
        <v>12</v>
      </c>
      <c r="D47" s="15">
        <f>E47*$D$41*12</f>
        <v>369.36297487645925</v>
      </c>
      <c r="E47" s="53">
        <v>0.32955297544295076</v>
      </c>
      <c r="F47" s="18"/>
    </row>
    <row r="48" spans="1:6" ht="30">
      <c r="A48" s="12">
        <v>2</v>
      </c>
      <c r="B48" s="13" t="s">
        <v>13</v>
      </c>
      <c r="C48" s="13" t="s">
        <v>14</v>
      </c>
      <c r="D48" s="15">
        <f>E48*$D$41*12</f>
        <v>34.35075666351071</v>
      </c>
      <c r="E48" s="53">
        <v>0.03064842671619442</v>
      </c>
      <c r="F48" s="18"/>
    </row>
    <row r="49" spans="1:6" ht="30.75" customHeight="1">
      <c r="A49" s="90" t="s">
        <v>103</v>
      </c>
      <c r="B49" s="93"/>
      <c r="C49" s="94"/>
      <c r="D49" s="22">
        <f>SUM(D50:D50)</f>
        <v>17.493366012269497</v>
      </c>
      <c r="E49" s="22">
        <f>SUM(E50:E50)</f>
        <v>0.015607928276471714</v>
      </c>
      <c r="F49" s="18"/>
    </row>
    <row r="50" spans="1:6" ht="75">
      <c r="A50" s="12">
        <v>3</v>
      </c>
      <c r="B50" s="13" t="s">
        <v>38</v>
      </c>
      <c r="C50" s="13" t="s">
        <v>7</v>
      </c>
      <c r="D50" s="15">
        <f>E50*12*$D$41</f>
        <v>17.493366012269497</v>
      </c>
      <c r="E50" s="15">
        <v>0.015607928276471714</v>
      </c>
      <c r="F50" s="2"/>
    </row>
    <row r="51" spans="1:6" ht="15">
      <c r="A51" s="95" t="s">
        <v>39</v>
      </c>
      <c r="B51" s="96"/>
      <c r="C51" s="96"/>
      <c r="D51" s="11">
        <f>SUM(D52:D53)</f>
        <v>1521.1166689975055</v>
      </c>
      <c r="E51" s="11">
        <f>SUM(E52:E53)</f>
        <v>1.3571704755509504</v>
      </c>
      <c r="F51" s="2"/>
    </row>
    <row r="52" spans="1:10" ht="75">
      <c r="A52" s="12">
        <v>4</v>
      </c>
      <c r="B52" s="13" t="s">
        <v>48</v>
      </c>
      <c r="C52" s="13" t="s">
        <v>7</v>
      </c>
      <c r="D52" s="15">
        <f>E52*12*$D$41</f>
        <v>176.2761462775051</v>
      </c>
      <c r="E52" s="15">
        <v>0.15727707555095027</v>
      </c>
      <c r="F52" s="2"/>
      <c r="H52" s="51"/>
      <c r="I52" s="51"/>
      <c r="J52" s="52"/>
    </row>
    <row r="53" spans="1:9" ht="90">
      <c r="A53" s="12">
        <v>5</v>
      </c>
      <c r="B53" s="13" t="s">
        <v>19</v>
      </c>
      <c r="C53" s="13" t="s">
        <v>49</v>
      </c>
      <c r="D53" s="15">
        <f>E53*12*$D$41</f>
        <v>1344.8405227200003</v>
      </c>
      <c r="E53" s="21">
        <v>1.1998934</v>
      </c>
      <c r="F53" s="2"/>
      <c r="G53" s="51"/>
      <c r="H53" s="51"/>
      <c r="I53" s="52"/>
    </row>
    <row r="54" spans="1:6" ht="15">
      <c r="A54" s="95" t="s">
        <v>41</v>
      </c>
      <c r="B54" s="95"/>
      <c r="C54" s="95"/>
      <c r="D54" s="23">
        <f>SUM(D55)</f>
        <v>95.487194856</v>
      </c>
      <c r="E54" s="22">
        <f>SUM(E55)</f>
        <v>0.08519557</v>
      </c>
      <c r="F54" s="2"/>
    </row>
    <row r="55" spans="1:9" ht="15">
      <c r="A55" s="12">
        <v>6</v>
      </c>
      <c r="B55" s="13" t="s">
        <v>21</v>
      </c>
      <c r="C55" s="13" t="s">
        <v>22</v>
      </c>
      <c r="D55" s="15">
        <f>E55*12*$D$41</f>
        <v>95.487194856</v>
      </c>
      <c r="E55" s="53">
        <v>0.08519557</v>
      </c>
      <c r="F55" s="2"/>
      <c r="G55" s="51"/>
      <c r="H55" s="51"/>
      <c r="I55" s="52"/>
    </row>
    <row r="56" spans="1:6" ht="15">
      <c r="A56" s="8"/>
      <c r="B56" s="24" t="s">
        <v>24</v>
      </c>
      <c r="C56" s="24"/>
      <c r="D56" s="25">
        <f>D46+D49+D51+D54</f>
        <v>2037.810961405745</v>
      </c>
      <c r="E56" s="17">
        <f>E46+E49+E51+E54</f>
        <v>1.8181753759865673</v>
      </c>
      <c r="F56" s="5"/>
    </row>
    <row r="57" spans="1:6" ht="9.75" customHeight="1">
      <c r="A57" s="26"/>
      <c r="B57" s="27"/>
      <c r="C57" s="28"/>
      <c r="D57" s="29"/>
      <c r="E57" s="30"/>
      <c r="F57" s="2"/>
    </row>
    <row r="58" spans="1:6" ht="105">
      <c r="A58" s="10" t="s">
        <v>25</v>
      </c>
      <c r="B58" s="10" t="s">
        <v>26</v>
      </c>
      <c r="C58" s="10" t="s">
        <v>27</v>
      </c>
      <c r="D58" s="10" t="s">
        <v>28</v>
      </c>
      <c r="E58" s="10" t="s">
        <v>29</v>
      </c>
      <c r="F58" s="10" t="s">
        <v>30</v>
      </c>
    </row>
    <row r="59" spans="1:6" ht="15">
      <c r="A59" s="10">
        <v>1</v>
      </c>
      <c r="B59" s="7" t="s">
        <v>110</v>
      </c>
      <c r="C59" s="10" t="s">
        <v>202</v>
      </c>
      <c r="D59" s="10">
        <v>2012</v>
      </c>
      <c r="E59" s="33">
        <f>D59/12/$D$41</f>
        <v>1.7951463240542467</v>
      </c>
      <c r="F59" s="34">
        <v>2</v>
      </c>
    </row>
    <row r="60" spans="1:6" ht="15">
      <c r="A60" s="10"/>
      <c r="B60" s="36" t="s">
        <v>31</v>
      </c>
      <c r="C60" s="9"/>
      <c r="D60" s="37">
        <f>SUM(D59:D59)</f>
        <v>2012</v>
      </c>
      <c r="E60" s="38">
        <f>SUM(E59:E59)</f>
        <v>1.7951463240542467</v>
      </c>
      <c r="F60" s="39"/>
    </row>
    <row r="61" spans="1:6" ht="12" customHeight="1">
      <c r="A61" s="26"/>
      <c r="B61" s="27"/>
      <c r="C61" s="40"/>
      <c r="D61" s="40"/>
      <c r="E61" s="40"/>
      <c r="F61" s="40"/>
    </row>
    <row r="62" spans="1:6" ht="31.5" customHeight="1">
      <c r="A62" s="26"/>
      <c r="B62" s="27" t="s">
        <v>32</v>
      </c>
      <c r="C62" s="41">
        <f>D56+D60</f>
        <v>4049.810961405745</v>
      </c>
      <c r="D62" s="41"/>
      <c r="E62" s="41"/>
      <c r="F62" s="40"/>
    </row>
    <row r="63" spans="1:6" ht="15">
      <c r="A63" s="26"/>
      <c r="B63" s="27" t="s">
        <v>33</v>
      </c>
      <c r="C63" s="42">
        <f>E56+E60</f>
        <v>3.6133217000408138</v>
      </c>
      <c r="D63" s="40"/>
      <c r="E63" s="40"/>
      <c r="F63" s="40"/>
    </row>
    <row r="64" spans="1:6" ht="9" customHeight="1">
      <c r="A64" s="26"/>
      <c r="B64" s="27"/>
      <c r="C64" s="42"/>
      <c r="D64" s="40"/>
      <c r="E64" s="40"/>
      <c r="F64" s="40"/>
    </row>
    <row r="65" spans="1:6" ht="33" customHeight="1">
      <c r="A65" s="88" t="s">
        <v>105</v>
      </c>
      <c r="B65" s="88"/>
      <c r="C65" s="88"/>
      <c r="D65" s="88"/>
      <c r="E65" s="88"/>
      <c r="F65" s="88"/>
    </row>
    <row r="66" spans="1:6" ht="5.25" customHeight="1">
      <c r="A66" s="1"/>
      <c r="B66" s="1"/>
      <c r="C66" s="1"/>
      <c r="D66" s="2"/>
      <c r="E66" s="2"/>
      <c r="F66" s="2"/>
    </row>
    <row r="67" spans="1:6" ht="85.5">
      <c r="A67" s="7"/>
      <c r="B67" s="8" t="s">
        <v>1</v>
      </c>
      <c r="C67" s="8" t="s">
        <v>2</v>
      </c>
      <c r="D67" s="8" t="s">
        <v>3</v>
      </c>
      <c r="E67" s="8" t="s">
        <v>4</v>
      </c>
      <c r="F67" s="2"/>
    </row>
    <row r="68" spans="1:5" ht="30" customHeight="1">
      <c r="A68" s="89" t="s">
        <v>123</v>
      </c>
      <c r="B68" s="89"/>
      <c r="C68" s="89"/>
      <c r="D68" s="17">
        <f>D69</f>
        <v>11.208</v>
      </c>
      <c r="E68" s="17">
        <f>E69</f>
        <v>0.01</v>
      </c>
    </row>
    <row r="69" spans="1:5" ht="30">
      <c r="A69" s="12" t="s">
        <v>5</v>
      </c>
      <c r="B69" s="43" t="s">
        <v>35</v>
      </c>
      <c r="C69" s="43" t="s">
        <v>42</v>
      </c>
      <c r="D69" s="15">
        <f>E69*12*$D$41</f>
        <v>11.208</v>
      </c>
      <c r="E69" s="44">
        <v>0.01</v>
      </c>
    </row>
    <row r="70" spans="1:5" ht="29.25" customHeight="1">
      <c r="A70" s="89" t="s">
        <v>102</v>
      </c>
      <c r="B70" s="89"/>
      <c r="C70" s="89"/>
      <c r="D70" s="17">
        <f>D71</f>
        <v>67.248</v>
      </c>
      <c r="E70" s="17">
        <f>E71</f>
        <v>0.06</v>
      </c>
    </row>
    <row r="71" spans="1:5" ht="15">
      <c r="A71" s="12" t="s">
        <v>34</v>
      </c>
      <c r="B71" s="45" t="s">
        <v>9</v>
      </c>
      <c r="C71" s="7" t="s">
        <v>42</v>
      </c>
      <c r="D71" s="15">
        <f>E71*$D$41*12</f>
        <v>67.248</v>
      </c>
      <c r="E71" s="16">
        <v>0.06</v>
      </c>
    </row>
    <row r="72" spans="1:6" ht="15">
      <c r="A72" s="8"/>
      <c r="B72" s="24" t="s">
        <v>24</v>
      </c>
      <c r="C72" s="24"/>
      <c r="D72" s="25">
        <f>D68+D70</f>
        <v>78.456</v>
      </c>
      <c r="E72" s="17">
        <f>E68+E70</f>
        <v>0.06999999999999999</v>
      </c>
      <c r="F72" s="5"/>
    </row>
    <row r="73" spans="1:6" ht="6" customHeight="1">
      <c r="A73" s="2"/>
      <c r="B73" s="2"/>
      <c r="C73" s="2"/>
      <c r="D73" s="2"/>
      <c r="E73" s="2"/>
      <c r="F73" s="2"/>
    </row>
    <row r="74" spans="1:6" ht="105">
      <c r="A74" s="10" t="s">
        <v>25</v>
      </c>
      <c r="B74" s="10" t="s">
        <v>26</v>
      </c>
      <c r="C74" s="10" t="s">
        <v>27</v>
      </c>
      <c r="D74" s="10" t="s">
        <v>28</v>
      </c>
      <c r="E74" s="10" t="s">
        <v>36</v>
      </c>
      <c r="F74" s="10" t="s">
        <v>30</v>
      </c>
    </row>
    <row r="75" spans="1:6" ht="15">
      <c r="A75" s="10">
        <v>1</v>
      </c>
      <c r="B75" s="7" t="s">
        <v>110</v>
      </c>
      <c r="C75" s="10" t="s">
        <v>202</v>
      </c>
      <c r="D75" s="10">
        <v>2012</v>
      </c>
      <c r="E75" s="46">
        <f>D75/12/$D$41</f>
        <v>1.7951463240542467</v>
      </c>
      <c r="F75" s="10">
        <v>2</v>
      </c>
    </row>
    <row r="76" spans="1:6" ht="15">
      <c r="A76" s="47"/>
      <c r="B76" s="47" t="s">
        <v>31</v>
      </c>
      <c r="C76" s="47"/>
      <c r="D76" s="48">
        <f>SUM(D75:D75)</f>
        <v>2012</v>
      </c>
      <c r="E76" s="49">
        <f>SUM(E75:E75)</f>
        <v>1.7951463240542467</v>
      </c>
      <c r="F76" s="47"/>
    </row>
    <row r="77" ht="3" customHeight="1"/>
    <row r="78" spans="1:6" ht="23.25" customHeight="1">
      <c r="A78" s="2"/>
      <c r="B78" s="1" t="s">
        <v>207</v>
      </c>
      <c r="C78" s="4"/>
      <c r="D78" s="57">
        <v>63</v>
      </c>
      <c r="E78" s="5" t="s">
        <v>0</v>
      </c>
      <c r="F78" s="2"/>
    </row>
    <row r="79" spans="1:6" ht="15">
      <c r="A79" s="2"/>
      <c r="B79" s="6"/>
      <c r="C79" s="2"/>
      <c r="D79" s="2"/>
      <c r="E79" s="2"/>
      <c r="F79" s="2"/>
    </row>
    <row r="80" spans="1:6" ht="29.25" customHeight="1">
      <c r="A80" s="88" t="s">
        <v>104</v>
      </c>
      <c r="B80" s="88"/>
      <c r="C80" s="88"/>
      <c r="D80" s="88"/>
      <c r="E80" s="88"/>
      <c r="F80" s="2"/>
    </row>
    <row r="81" spans="1:6" ht="15">
      <c r="A81" s="1"/>
      <c r="B81" s="1"/>
      <c r="C81" s="1"/>
      <c r="D81" s="1"/>
      <c r="E81" s="1"/>
      <c r="F81" s="2"/>
    </row>
    <row r="82" spans="1:6" ht="85.5">
      <c r="A82" s="7"/>
      <c r="B82" s="8" t="s">
        <v>1</v>
      </c>
      <c r="C82" s="8" t="s">
        <v>2</v>
      </c>
      <c r="D82" s="8" t="s">
        <v>3</v>
      </c>
      <c r="E82" s="8" t="s">
        <v>4</v>
      </c>
      <c r="F82" s="2"/>
    </row>
    <row r="83" spans="1:6" ht="15">
      <c r="A83" s="90" t="s">
        <v>37</v>
      </c>
      <c r="B83" s="91"/>
      <c r="C83" s="92"/>
      <c r="D83" s="17">
        <f>SUM(D84:D85)</f>
        <v>403.7137315399699</v>
      </c>
      <c r="E83" s="17">
        <f>SUM(E84:E85)</f>
        <v>0.5340128724073676</v>
      </c>
      <c r="F83" s="20"/>
    </row>
    <row r="84" spans="1:6" ht="15">
      <c r="A84" s="12">
        <v>1</v>
      </c>
      <c r="B84" s="7" t="s">
        <v>11</v>
      </c>
      <c r="C84" s="14" t="s">
        <v>12</v>
      </c>
      <c r="D84" s="15">
        <f>E84*$D$78*12</f>
        <v>369.3629748764592</v>
      </c>
      <c r="E84" s="53">
        <v>0.4885753635932</v>
      </c>
      <c r="F84" s="18"/>
    </row>
    <row r="85" spans="1:6" ht="30">
      <c r="A85" s="12">
        <v>2</v>
      </c>
      <c r="B85" s="13" t="s">
        <v>13</v>
      </c>
      <c r="C85" s="13" t="s">
        <v>14</v>
      </c>
      <c r="D85" s="15">
        <f>E85*$D$78*12</f>
        <v>34.35075666351071</v>
      </c>
      <c r="E85" s="53">
        <v>0.0454375088141676</v>
      </c>
      <c r="F85" s="18"/>
    </row>
    <row r="86" spans="1:6" ht="29.25" customHeight="1">
      <c r="A86" s="90" t="s">
        <v>103</v>
      </c>
      <c r="B86" s="93"/>
      <c r="C86" s="94"/>
      <c r="D86" s="22">
        <f>SUM(D87:D87)</f>
        <v>17.493366012269497</v>
      </c>
      <c r="E86" s="22">
        <f>SUM(E87:E87)</f>
        <v>0.02313937303210251</v>
      </c>
      <c r="F86" s="18"/>
    </row>
    <row r="87" spans="1:6" ht="75">
      <c r="A87" s="12">
        <v>3</v>
      </c>
      <c r="B87" s="13" t="s">
        <v>38</v>
      </c>
      <c r="C87" s="13" t="s">
        <v>7</v>
      </c>
      <c r="D87" s="15">
        <f>E87*12*$D$78</f>
        <v>17.493366012269497</v>
      </c>
      <c r="E87" s="15">
        <v>0.02313937303210251</v>
      </c>
      <c r="F87" s="2"/>
    </row>
    <row r="88" spans="1:6" ht="15">
      <c r="A88" s="95" t="s">
        <v>39</v>
      </c>
      <c r="B88" s="96"/>
      <c r="C88" s="96"/>
      <c r="D88" s="11">
        <f>SUM(D89:D90)</f>
        <v>1024.2860107165184</v>
      </c>
      <c r="E88" s="11">
        <f>SUM(E89:E90)</f>
        <v>1.3548756755509503</v>
      </c>
      <c r="F88" s="2"/>
    </row>
    <row r="89" spans="1:9" ht="75">
      <c r="A89" s="12">
        <v>4</v>
      </c>
      <c r="B89" s="13" t="s">
        <v>48</v>
      </c>
      <c r="C89" s="13" t="s">
        <v>7</v>
      </c>
      <c r="D89" s="15">
        <f>E89*12*$D$78</f>
        <v>118.90146911651841</v>
      </c>
      <c r="E89" s="15">
        <v>0.15727707555095027</v>
      </c>
      <c r="F89" s="2"/>
      <c r="G89" s="51"/>
      <c r="H89" s="51"/>
      <c r="I89" s="52"/>
    </row>
    <row r="90" spans="1:9" ht="90">
      <c r="A90" s="12">
        <v>5</v>
      </c>
      <c r="B90" s="13" t="s">
        <v>19</v>
      </c>
      <c r="C90" s="13" t="s">
        <v>49</v>
      </c>
      <c r="D90" s="15">
        <f>E90*12*$D$78</f>
        <v>905.3845416</v>
      </c>
      <c r="E90" s="21">
        <v>1.1975986</v>
      </c>
      <c r="F90" s="2"/>
      <c r="G90" s="51"/>
      <c r="H90" s="51"/>
      <c r="I90" s="52"/>
    </row>
    <row r="91" spans="1:6" ht="15">
      <c r="A91" s="95" t="s">
        <v>41</v>
      </c>
      <c r="B91" s="95"/>
      <c r="C91" s="95"/>
      <c r="D91" s="23">
        <f>SUM(D92)</f>
        <v>90.72</v>
      </c>
      <c r="E91" s="22">
        <f>SUM(E92)</f>
        <v>0.12</v>
      </c>
      <c r="F91" s="2"/>
    </row>
    <row r="92" spans="1:9" ht="15">
      <c r="A92" s="12">
        <v>6</v>
      </c>
      <c r="B92" s="13" t="s">
        <v>21</v>
      </c>
      <c r="C92" s="13" t="s">
        <v>22</v>
      </c>
      <c r="D92" s="15">
        <f>E92*12*$D$78</f>
        <v>90.72</v>
      </c>
      <c r="E92" s="53">
        <v>0.12</v>
      </c>
      <c r="F92" s="2"/>
      <c r="G92" s="51"/>
      <c r="H92" s="51"/>
      <c r="I92" s="52"/>
    </row>
    <row r="93" spans="1:6" ht="15">
      <c r="A93" s="8"/>
      <c r="B93" s="24" t="s">
        <v>24</v>
      </c>
      <c r="C93" s="24"/>
      <c r="D93" s="25">
        <f>D83+D86+D88+D91</f>
        <v>1536.2131082687579</v>
      </c>
      <c r="E93" s="17">
        <f>E83+E86+E88+E91</f>
        <v>2.0320279209904206</v>
      </c>
      <c r="F93" s="5"/>
    </row>
    <row r="94" spans="1:6" ht="15">
      <c r="A94" s="26"/>
      <c r="B94" s="27"/>
      <c r="C94" s="28"/>
      <c r="D94" s="29"/>
      <c r="E94" s="30"/>
      <c r="F94" s="2"/>
    </row>
    <row r="95" spans="1:6" ht="105">
      <c r="A95" s="10" t="s">
        <v>25</v>
      </c>
      <c r="B95" s="10" t="s">
        <v>26</v>
      </c>
      <c r="C95" s="10" t="s">
        <v>27</v>
      </c>
      <c r="D95" s="10" t="s">
        <v>28</v>
      </c>
      <c r="E95" s="10" t="s">
        <v>29</v>
      </c>
      <c r="F95" s="10" t="s">
        <v>30</v>
      </c>
    </row>
    <row r="96" spans="1:6" ht="15">
      <c r="A96" s="10">
        <v>1</v>
      </c>
      <c r="B96" s="7" t="s">
        <v>110</v>
      </c>
      <c r="C96" s="10" t="s">
        <v>200</v>
      </c>
      <c r="D96" s="10">
        <v>1257.5</v>
      </c>
      <c r="E96" s="33">
        <f>D96/12/$D$78</f>
        <v>1.6633597883597884</v>
      </c>
      <c r="F96" s="34">
        <v>2</v>
      </c>
    </row>
    <row r="97" spans="1:6" ht="15">
      <c r="A97" s="10"/>
      <c r="B97" s="36" t="s">
        <v>31</v>
      </c>
      <c r="C97" s="9"/>
      <c r="D97" s="37">
        <f>SUM(D96:D96)</f>
        <v>1257.5</v>
      </c>
      <c r="E97" s="38">
        <f>SUM(E96:E96)</f>
        <v>1.6633597883597884</v>
      </c>
      <c r="F97" s="39"/>
    </row>
    <row r="98" spans="1:6" ht="15">
      <c r="A98" s="26"/>
      <c r="B98" s="27"/>
      <c r="C98" s="40"/>
      <c r="D98" s="40"/>
      <c r="E98" s="40"/>
      <c r="F98" s="40"/>
    </row>
    <row r="99" spans="1:6" ht="15">
      <c r="A99" s="26"/>
      <c r="B99" s="27"/>
      <c r="C99" s="40"/>
      <c r="D99" s="40"/>
      <c r="E99" s="40"/>
      <c r="F99" s="40"/>
    </row>
    <row r="100" spans="1:6" ht="27" customHeight="1">
      <c r="A100" s="26"/>
      <c r="B100" s="27" t="s">
        <v>32</v>
      </c>
      <c r="C100" s="41">
        <f>D93+D97</f>
        <v>2793.713108268758</v>
      </c>
      <c r="D100" s="41"/>
      <c r="E100" s="41"/>
      <c r="F100" s="40"/>
    </row>
    <row r="101" spans="1:6" ht="15">
      <c r="A101" s="26"/>
      <c r="B101" s="27" t="s">
        <v>33</v>
      </c>
      <c r="C101" s="42">
        <f>E93+E97</f>
        <v>3.695387709350209</v>
      </c>
      <c r="D101" s="40"/>
      <c r="E101" s="40"/>
      <c r="F101" s="40"/>
    </row>
    <row r="102" spans="1:6" ht="15">
      <c r="A102" s="26"/>
      <c r="B102" s="27"/>
      <c r="C102" s="42"/>
      <c r="D102" s="40"/>
      <c r="E102" s="40"/>
      <c r="F102" s="40"/>
    </row>
    <row r="103" spans="1:6" ht="29.25" customHeight="1">
      <c r="A103" s="88" t="s">
        <v>105</v>
      </c>
      <c r="B103" s="88"/>
      <c r="C103" s="88"/>
      <c r="D103" s="88"/>
      <c r="E103" s="88"/>
      <c r="F103" s="88"/>
    </row>
    <row r="104" spans="1:6" ht="5.25" customHeight="1">
      <c r="A104" s="1"/>
      <c r="B104" s="1"/>
      <c r="C104" s="1"/>
      <c r="D104" s="2"/>
      <c r="E104" s="2"/>
      <c r="F104" s="2"/>
    </row>
    <row r="105" spans="1:6" ht="85.5">
      <c r="A105" s="7"/>
      <c r="B105" s="8" t="s">
        <v>1</v>
      </c>
      <c r="C105" s="8" t="s">
        <v>2</v>
      </c>
      <c r="D105" s="8" t="s">
        <v>3</v>
      </c>
      <c r="E105" s="8" t="s">
        <v>4</v>
      </c>
      <c r="F105" s="2"/>
    </row>
    <row r="106" spans="1:5" ht="30" customHeight="1">
      <c r="A106" s="89" t="s">
        <v>123</v>
      </c>
      <c r="B106" s="89"/>
      <c r="C106" s="89"/>
      <c r="D106" s="17">
        <f>D107</f>
        <v>7.56</v>
      </c>
      <c r="E106" s="17">
        <f>E107</f>
        <v>0.01</v>
      </c>
    </row>
    <row r="107" spans="1:5" ht="30">
      <c r="A107" s="12" t="s">
        <v>5</v>
      </c>
      <c r="B107" s="43" t="s">
        <v>35</v>
      </c>
      <c r="C107" s="43" t="s">
        <v>42</v>
      </c>
      <c r="D107" s="15">
        <f>E107*12*$D$78</f>
        <v>7.56</v>
      </c>
      <c r="E107" s="44">
        <v>0.01</v>
      </c>
    </row>
    <row r="108" spans="1:5" ht="30" customHeight="1">
      <c r="A108" s="89" t="s">
        <v>102</v>
      </c>
      <c r="B108" s="89"/>
      <c r="C108" s="89"/>
      <c r="D108" s="17">
        <f>D109</f>
        <v>45.36</v>
      </c>
      <c r="E108" s="17">
        <f>E109</f>
        <v>0.06</v>
      </c>
    </row>
    <row r="109" spans="1:5" ht="15">
      <c r="A109" s="12" t="s">
        <v>34</v>
      </c>
      <c r="B109" s="45" t="s">
        <v>9</v>
      </c>
      <c r="C109" s="7" t="s">
        <v>42</v>
      </c>
      <c r="D109" s="15">
        <f>E109*$D$78*12</f>
        <v>45.36</v>
      </c>
      <c r="E109" s="16">
        <v>0.06</v>
      </c>
    </row>
    <row r="110" spans="1:6" ht="15">
      <c r="A110" s="8"/>
      <c r="B110" s="24" t="s">
        <v>24</v>
      </c>
      <c r="C110" s="24"/>
      <c r="D110" s="25">
        <f>D106+D108</f>
        <v>52.92</v>
      </c>
      <c r="E110" s="17">
        <f>E106+E108</f>
        <v>0.06999999999999999</v>
      </c>
      <c r="F110" s="5"/>
    </row>
    <row r="111" spans="1:6" ht="6" customHeight="1">
      <c r="A111" s="2"/>
      <c r="B111" s="2"/>
      <c r="C111" s="2"/>
      <c r="D111" s="2"/>
      <c r="E111" s="2"/>
      <c r="F111" s="2"/>
    </row>
    <row r="112" spans="1:6" ht="105">
      <c r="A112" s="10" t="s">
        <v>25</v>
      </c>
      <c r="B112" s="10" t="s">
        <v>26</v>
      </c>
      <c r="C112" s="10" t="s">
        <v>27</v>
      </c>
      <c r="D112" s="10" t="s">
        <v>28</v>
      </c>
      <c r="E112" s="10" t="s">
        <v>36</v>
      </c>
      <c r="F112" s="10" t="s">
        <v>30</v>
      </c>
    </row>
    <row r="113" spans="1:6" ht="15">
      <c r="A113" s="10">
        <v>1</v>
      </c>
      <c r="B113" s="7" t="s">
        <v>110</v>
      </c>
      <c r="C113" s="10" t="s">
        <v>200</v>
      </c>
      <c r="D113" s="10">
        <v>1257.5</v>
      </c>
      <c r="E113" s="46">
        <f>D113/12/$D$78</f>
        <v>1.6633597883597884</v>
      </c>
      <c r="F113" s="10">
        <v>2</v>
      </c>
    </row>
    <row r="114" spans="1:6" ht="15">
      <c r="A114" s="47"/>
      <c r="B114" s="47" t="s">
        <v>31</v>
      </c>
      <c r="C114" s="47"/>
      <c r="D114" s="48">
        <f>SUM(D113:D113)</f>
        <v>1257.5</v>
      </c>
      <c r="E114" s="49">
        <f>SUM(E113:E113)</f>
        <v>1.6633597883597884</v>
      </c>
      <c r="F114" s="47"/>
    </row>
    <row r="116" spans="1:6" ht="15">
      <c r="A116" s="2"/>
      <c r="B116" s="1" t="s">
        <v>208</v>
      </c>
      <c r="C116" s="4"/>
      <c r="D116" s="57">
        <v>63</v>
      </c>
      <c r="E116" s="5" t="s">
        <v>0</v>
      </c>
      <c r="F116" s="2"/>
    </row>
    <row r="117" spans="1:6" ht="6" customHeight="1">
      <c r="A117" s="2"/>
      <c r="B117" s="6"/>
      <c r="C117" s="2"/>
      <c r="D117" s="2"/>
      <c r="E117" s="2"/>
      <c r="F117" s="2"/>
    </row>
    <row r="118" spans="1:6" ht="30.75" customHeight="1">
      <c r="A118" s="88" t="s">
        <v>104</v>
      </c>
      <c r="B118" s="88"/>
      <c r="C118" s="88"/>
      <c r="D118" s="88"/>
      <c r="E118" s="88"/>
      <c r="F118" s="2"/>
    </row>
    <row r="119" spans="1:6" ht="5.25" customHeight="1">
      <c r="A119" s="1"/>
      <c r="B119" s="1"/>
      <c r="C119" s="1"/>
      <c r="D119" s="1"/>
      <c r="E119" s="1"/>
      <c r="F119" s="2"/>
    </row>
    <row r="120" spans="1:6" ht="85.5">
      <c r="A120" s="7"/>
      <c r="B120" s="8" t="s">
        <v>1</v>
      </c>
      <c r="C120" s="8" t="s">
        <v>2</v>
      </c>
      <c r="D120" s="8" t="s">
        <v>3</v>
      </c>
      <c r="E120" s="8" t="s">
        <v>4</v>
      </c>
      <c r="F120" s="2"/>
    </row>
    <row r="121" spans="1:6" ht="15">
      <c r="A121" s="90" t="s">
        <v>37</v>
      </c>
      <c r="B121" s="91"/>
      <c r="C121" s="92"/>
      <c r="D121" s="17">
        <f>SUM(D122:D123)</f>
        <v>403.7137315399699</v>
      </c>
      <c r="E121" s="80">
        <f>SUM(E122:E123)</f>
        <v>0.5340128724073676</v>
      </c>
      <c r="F121" s="20"/>
    </row>
    <row r="122" spans="1:6" ht="15">
      <c r="A122" s="12">
        <v>1</v>
      </c>
      <c r="B122" s="7" t="s">
        <v>11</v>
      </c>
      <c r="C122" s="14" t="s">
        <v>12</v>
      </c>
      <c r="D122" s="15">
        <f>E122*$D$116*12</f>
        <v>369.3629748764592</v>
      </c>
      <c r="E122" s="81">
        <v>0.4885753635932</v>
      </c>
      <c r="F122" s="18"/>
    </row>
    <row r="123" spans="1:6" ht="30">
      <c r="A123" s="12">
        <v>2</v>
      </c>
      <c r="B123" s="13" t="s">
        <v>13</v>
      </c>
      <c r="C123" s="13" t="s">
        <v>14</v>
      </c>
      <c r="D123" s="15">
        <f>E123*$D$116*12</f>
        <v>34.35075666351071</v>
      </c>
      <c r="E123" s="81">
        <v>0.0454375088141676</v>
      </c>
      <c r="F123" s="18"/>
    </row>
    <row r="124" spans="1:6" ht="29.25" customHeight="1">
      <c r="A124" s="90" t="s">
        <v>103</v>
      </c>
      <c r="B124" s="93"/>
      <c r="C124" s="94"/>
      <c r="D124" s="22">
        <f>SUM(D125:D125)</f>
        <v>17.493366012269497</v>
      </c>
      <c r="E124" s="23">
        <f>SUM(E125:E125)</f>
        <v>0.02313937303210251</v>
      </c>
      <c r="F124" s="18"/>
    </row>
    <row r="125" spans="1:6" ht="75">
      <c r="A125" s="12">
        <v>3</v>
      </c>
      <c r="B125" s="13" t="s">
        <v>38</v>
      </c>
      <c r="C125" s="13" t="s">
        <v>7</v>
      </c>
      <c r="D125" s="15">
        <f>E125*12*$D$116</f>
        <v>17.493366012269497</v>
      </c>
      <c r="E125" s="82">
        <v>0.02313937303210251</v>
      </c>
      <c r="F125" s="2"/>
    </row>
    <row r="126" spans="1:6" ht="15">
      <c r="A126" s="95" t="s">
        <v>39</v>
      </c>
      <c r="B126" s="96"/>
      <c r="C126" s="96"/>
      <c r="D126" s="11">
        <f>SUM(D127:D128)</f>
        <v>1024.2860107165184</v>
      </c>
      <c r="E126" s="83">
        <f>SUM(E127:E128)</f>
        <v>1.3548756755509503</v>
      </c>
      <c r="F126" s="2"/>
    </row>
    <row r="127" spans="1:10" ht="75">
      <c r="A127" s="12">
        <v>4</v>
      </c>
      <c r="B127" s="13" t="s">
        <v>48</v>
      </c>
      <c r="C127" s="13" t="s">
        <v>7</v>
      </c>
      <c r="D127" s="15">
        <f>E127*12*$D$116</f>
        <v>118.90146911651841</v>
      </c>
      <c r="E127" s="82">
        <v>0.15727707555095027</v>
      </c>
      <c r="F127" s="2"/>
      <c r="H127" s="51"/>
      <c r="I127" s="51"/>
      <c r="J127" s="52"/>
    </row>
    <row r="128" spans="1:10" ht="90">
      <c r="A128" s="12">
        <v>5</v>
      </c>
      <c r="B128" s="13" t="s">
        <v>19</v>
      </c>
      <c r="C128" s="13" t="s">
        <v>49</v>
      </c>
      <c r="D128" s="15">
        <f>E128*12*$D$116</f>
        <v>905.3845416</v>
      </c>
      <c r="E128" s="84">
        <v>1.1975986</v>
      </c>
      <c r="F128" s="2"/>
      <c r="H128" s="51"/>
      <c r="I128" s="51"/>
      <c r="J128" s="52"/>
    </row>
    <row r="129" spans="1:6" ht="15">
      <c r="A129" s="95" t="s">
        <v>41</v>
      </c>
      <c r="B129" s="95"/>
      <c r="C129" s="95"/>
      <c r="D129" s="23">
        <f>SUM(D130)</f>
        <v>90.72</v>
      </c>
      <c r="E129" s="23">
        <f>SUM(E130)</f>
        <v>0.12</v>
      </c>
      <c r="F129" s="2"/>
    </row>
    <row r="130" spans="1:10" ht="15">
      <c r="A130" s="12">
        <v>6</v>
      </c>
      <c r="B130" s="13" t="s">
        <v>21</v>
      </c>
      <c r="C130" s="13" t="s">
        <v>22</v>
      </c>
      <c r="D130" s="15">
        <f>E130*12*$D$116</f>
        <v>90.72</v>
      </c>
      <c r="E130" s="81">
        <v>0.12</v>
      </c>
      <c r="F130" s="2"/>
      <c r="H130" s="51"/>
      <c r="I130" s="51"/>
      <c r="J130" s="52"/>
    </row>
    <row r="131" spans="1:6" ht="15">
      <c r="A131" s="8"/>
      <c r="B131" s="24" t="s">
        <v>24</v>
      </c>
      <c r="C131" s="24"/>
      <c r="D131" s="25">
        <f>D121+D124+D126+D129</f>
        <v>1536.2131082687579</v>
      </c>
      <c r="E131" s="80">
        <f>E121+E124+E126+E129</f>
        <v>2.0320279209904206</v>
      </c>
      <c r="F131" s="5"/>
    </row>
    <row r="132" spans="1:6" ht="15">
      <c r="A132" s="26"/>
      <c r="B132" s="27"/>
      <c r="C132" s="28"/>
      <c r="D132" s="29"/>
      <c r="E132" s="30"/>
      <c r="F132" s="2"/>
    </row>
    <row r="133" spans="1:6" ht="105">
      <c r="A133" s="10" t="s">
        <v>25</v>
      </c>
      <c r="B133" s="10" t="s">
        <v>26</v>
      </c>
      <c r="C133" s="10" t="s">
        <v>27</v>
      </c>
      <c r="D133" s="10" t="s">
        <v>28</v>
      </c>
      <c r="E133" s="10" t="s">
        <v>29</v>
      </c>
      <c r="F133" s="10" t="s">
        <v>30</v>
      </c>
    </row>
    <row r="134" spans="1:6" ht="15">
      <c r="A134" s="10">
        <v>1</v>
      </c>
      <c r="B134" s="7" t="s">
        <v>110</v>
      </c>
      <c r="C134" s="10" t="s">
        <v>200</v>
      </c>
      <c r="D134" s="10">
        <v>1257.5</v>
      </c>
      <c r="E134" s="33">
        <f>D134/12/$D$116</f>
        <v>1.6633597883597884</v>
      </c>
      <c r="F134" s="34">
        <v>2</v>
      </c>
    </row>
    <row r="135" spans="1:6" ht="15">
      <c r="A135" s="10"/>
      <c r="B135" s="36" t="s">
        <v>31</v>
      </c>
      <c r="C135" s="9"/>
      <c r="D135" s="37">
        <f>SUM(D134:D134)</f>
        <v>1257.5</v>
      </c>
      <c r="E135" s="38">
        <f>SUM(E134:E134)</f>
        <v>1.6633597883597884</v>
      </c>
      <c r="F135" s="39"/>
    </row>
    <row r="136" spans="1:6" ht="15">
      <c r="A136" s="26"/>
      <c r="B136" s="27"/>
      <c r="C136" s="40"/>
      <c r="D136" s="40"/>
      <c r="E136" s="40"/>
      <c r="F136" s="40"/>
    </row>
    <row r="137" spans="1:6" ht="15">
      <c r="A137" s="26"/>
      <c r="B137" s="27"/>
      <c r="C137" s="40"/>
      <c r="D137" s="40"/>
      <c r="E137" s="40"/>
      <c r="F137" s="40"/>
    </row>
    <row r="138" spans="1:6" ht="34.5" customHeight="1">
      <c r="A138" s="26"/>
      <c r="B138" s="27" t="s">
        <v>32</v>
      </c>
      <c r="C138" s="41">
        <f>D131+D135</f>
        <v>2793.713108268758</v>
      </c>
      <c r="D138" s="41"/>
      <c r="E138" s="41"/>
      <c r="F138" s="40"/>
    </row>
    <row r="139" spans="1:6" ht="15">
      <c r="A139" s="26"/>
      <c r="B139" s="27" t="s">
        <v>33</v>
      </c>
      <c r="C139" s="42">
        <f>E131+E135</f>
        <v>3.695387709350209</v>
      </c>
      <c r="D139" s="40"/>
      <c r="E139" s="40"/>
      <c r="F139" s="40"/>
    </row>
    <row r="140" spans="1:6" ht="15">
      <c r="A140" s="26"/>
      <c r="B140" s="27"/>
      <c r="C140" s="42"/>
      <c r="D140" s="40"/>
      <c r="E140" s="40"/>
      <c r="F140" s="40"/>
    </row>
    <row r="141" spans="1:6" ht="27.75" customHeight="1">
      <c r="A141" s="88" t="s">
        <v>105</v>
      </c>
      <c r="B141" s="88"/>
      <c r="C141" s="88"/>
      <c r="D141" s="88"/>
      <c r="E141" s="88"/>
      <c r="F141" s="88"/>
    </row>
    <row r="142" spans="1:6" ht="15">
      <c r="A142" s="1"/>
      <c r="B142" s="1"/>
      <c r="C142" s="1"/>
      <c r="D142" s="2"/>
      <c r="E142" s="2"/>
      <c r="F142" s="2"/>
    </row>
    <row r="143" spans="1:6" ht="85.5">
      <c r="A143" s="7"/>
      <c r="B143" s="8" t="s">
        <v>1</v>
      </c>
      <c r="C143" s="8" t="s">
        <v>2</v>
      </c>
      <c r="D143" s="8" t="s">
        <v>3</v>
      </c>
      <c r="E143" s="8" t="s">
        <v>4</v>
      </c>
      <c r="F143" s="2"/>
    </row>
    <row r="144" spans="1:5" ht="30" customHeight="1">
      <c r="A144" s="89" t="s">
        <v>123</v>
      </c>
      <c r="B144" s="89"/>
      <c r="C144" s="89"/>
      <c r="D144" s="17">
        <f>D145</f>
        <v>7.56</v>
      </c>
      <c r="E144" s="17">
        <f>E145</f>
        <v>0.01</v>
      </c>
    </row>
    <row r="145" spans="1:5" ht="30">
      <c r="A145" s="12" t="s">
        <v>5</v>
      </c>
      <c r="B145" s="43" t="s">
        <v>35</v>
      </c>
      <c r="C145" s="43" t="s">
        <v>42</v>
      </c>
      <c r="D145" s="15">
        <f>E145*12*$D$116</f>
        <v>7.56</v>
      </c>
      <c r="E145" s="44">
        <v>0.01</v>
      </c>
    </row>
    <row r="146" spans="1:5" ht="30" customHeight="1">
      <c r="A146" s="89" t="s">
        <v>102</v>
      </c>
      <c r="B146" s="89"/>
      <c r="C146" s="89"/>
      <c r="D146" s="17">
        <f>D147</f>
        <v>45.36</v>
      </c>
      <c r="E146" s="17">
        <f>E147</f>
        <v>0.06</v>
      </c>
    </row>
    <row r="147" spans="1:5" ht="15">
      <c r="A147" s="12" t="s">
        <v>34</v>
      </c>
      <c r="B147" s="45" t="s">
        <v>9</v>
      </c>
      <c r="C147" s="7" t="s">
        <v>42</v>
      </c>
      <c r="D147" s="15">
        <f>E147*12*$D$116</f>
        <v>45.36</v>
      </c>
      <c r="E147" s="16">
        <v>0.06</v>
      </c>
    </row>
    <row r="148" spans="1:6" ht="15">
      <c r="A148" s="8"/>
      <c r="B148" s="24" t="s">
        <v>24</v>
      </c>
      <c r="C148" s="24"/>
      <c r="D148" s="25">
        <f>D144+D146</f>
        <v>52.92</v>
      </c>
      <c r="E148" s="17">
        <f>E144+E146</f>
        <v>0.06999999999999999</v>
      </c>
      <c r="F148" s="5"/>
    </row>
    <row r="149" spans="1:6" ht="15">
      <c r="A149" s="2"/>
      <c r="B149" s="2"/>
      <c r="C149" s="2"/>
      <c r="D149" s="2"/>
      <c r="E149" s="2"/>
      <c r="F149" s="2"/>
    </row>
    <row r="150" spans="1:6" ht="105">
      <c r="A150" s="10" t="s">
        <v>25</v>
      </c>
      <c r="B150" s="10" t="s">
        <v>26</v>
      </c>
      <c r="C150" s="10" t="s">
        <v>27</v>
      </c>
      <c r="D150" s="10" t="s">
        <v>28</v>
      </c>
      <c r="E150" s="10" t="s">
        <v>36</v>
      </c>
      <c r="F150" s="10" t="s">
        <v>30</v>
      </c>
    </row>
    <row r="151" spans="1:6" ht="15">
      <c r="A151" s="10">
        <v>1</v>
      </c>
      <c r="B151" s="7" t="s">
        <v>110</v>
      </c>
      <c r="C151" s="10" t="s">
        <v>200</v>
      </c>
      <c r="D151" s="10">
        <v>1257.5</v>
      </c>
      <c r="E151" s="46">
        <f>D151/12/$D$116</f>
        <v>1.6633597883597884</v>
      </c>
      <c r="F151" s="10">
        <v>2</v>
      </c>
    </row>
    <row r="152" spans="1:6" ht="15">
      <c r="A152" s="47"/>
      <c r="B152" s="47" t="s">
        <v>31</v>
      </c>
      <c r="C152" s="47"/>
      <c r="D152" s="48">
        <f>SUM(D151:D151)</f>
        <v>1257.5</v>
      </c>
      <c r="E152" s="49">
        <f>SUM(E151:E151)</f>
        <v>1.6633597883597884</v>
      </c>
      <c r="F152" s="47"/>
    </row>
    <row r="155" spans="1:6" ht="21.75" customHeight="1">
      <c r="A155" s="2"/>
      <c r="B155" s="1" t="s">
        <v>209</v>
      </c>
      <c r="C155" s="4"/>
      <c r="D155" s="57">
        <v>60</v>
      </c>
      <c r="E155" s="5" t="s">
        <v>0</v>
      </c>
      <c r="F155" s="2"/>
    </row>
    <row r="156" spans="1:6" ht="15">
      <c r="A156" s="2"/>
      <c r="B156" s="6"/>
      <c r="C156" s="2"/>
      <c r="D156" s="2"/>
      <c r="E156" s="2"/>
      <c r="F156" s="2"/>
    </row>
    <row r="157" spans="1:6" ht="29.25" customHeight="1">
      <c r="A157" s="88" t="s">
        <v>104</v>
      </c>
      <c r="B157" s="88"/>
      <c r="C157" s="88"/>
      <c r="D157" s="88"/>
      <c r="E157" s="88"/>
      <c r="F157" s="2"/>
    </row>
    <row r="158" spans="1:6" ht="15">
      <c r="A158" s="1"/>
      <c r="B158" s="1"/>
      <c r="C158" s="1"/>
      <c r="D158" s="1"/>
      <c r="E158" s="1"/>
      <c r="F158" s="2"/>
    </row>
    <row r="159" spans="1:6" ht="85.5">
      <c r="A159" s="7"/>
      <c r="B159" s="8" t="s">
        <v>1</v>
      </c>
      <c r="C159" s="8" t="s">
        <v>2</v>
      </c>
      <c r="D159" s="8" t="s">
        <v>3</v>
      </c>
      <c r="E159" s="8" t="s">
        <v>4</v>
      </c>
      <c r="F159" s="2"/>
    </row>
    <row r="160" spans="1:6" ht="15">
      <c r="A160" s="90" t="s">
        <v>37</v>
      </c>
      <c r="B160" s="91"/>
      <c r="C160" s="92"/>
      <c r="D160" s="17">
        <f>SUM(D161:D162)</f>
        <v>403.9272</v>
      </c>
      <c r="E160" s="17">
        <f>SUM(E161:E162)</f>
        <v>0.56101</v>
      </c>
      <c r="F160" s="20"/>
    </row>
    <row r="161" spans="1:6" ht="15">
      <c r="A161" s="12">
        <v>1</v>
      </c>
      <c r="B161" s="7" t="s">
        <v>11</v>
      </c>
      <c r="C161" s="14" t="s">
        <v>12</v>
      </c>
      <c r="D161" s="15">
        <f>E161*$D$155*12</f>
        <v>369.3672</v>
      </c>
      <c r="E161" s="53">
        <v>0.51301</v>
      </c>
      <c r="F161" s="18"/>
    </row>
    <row r="162" spans="1:6" ht="30">
      <c r="A162" s="12">
        <v>2</v>
      </c>
      <c r="B162" s="13" t="s">
        <v>13</v>
      </c>
      <c r="C162" s="13" t="s">
        <v>14</v>
      </c>
      <c r="D162" s="15">
        <f>E162*$D$155*12</f>
        <v>34.56</v>
      </c>
      <c r="E162" s="53">
        <v>0.048</v>
      </c>
      <c r="F162" s="18"/>
    </row>
    <row r="163" spans="1:6" ht="29.25" customHeight="1">
      <c r="A163" s="90" t="s">
        <v>103</v>
      </c>
      <c r="B163" s="93"/>
      <c r="C163" s="94"/>
      <c r="D163" s="22">
        <f>SUM(D164:D164)</f>
        <v>17.496</v>
      </c>
      <c r="E163" s="22">
        <f>SUM(E164:E164)</f>
        <v>0.0243</v>
      </c>
      <c r="F163" s="18"/>
    </row>
    <row r="164" spans="1:6" ht="75">
      <c r="A164" s="12">
        <v>3</v>
      </c>
      <c r="B164" s="13" t="s">
        <v>38</v>
      </c>
      <c r="C164" s="13" t="s">
        <v>7</v>
      </c>
      <c r="D164" s="15">
        <f>E164*$D$155*12</f>
        <v>17.496</v>
      </c>
      <c r="E164" s="15">
        <v>0.0243</v>
      </c>
      <c r="F164" s="2"/>
    </row>
    <row r="165" spans="1:6" ht="15">
      <c r="A165" s="95" t="s">
        <v>39</v>
      </c>
      <c r="B165" s="96"/>
      <c r="C165" s="96"/>
      <c r="D165" s="11">
        <f>SUM(D166:D167)</f>
        <v>982.541664</v>
      </c>
      <c r="E165" s="11">
        <f>SUM(E166:E167)</f>
        <v>1.3646411999999999</v>
      </c>
      <c r="F165" s="2"/>
    </row>
    <row r="166" spans="1:10" ht="75">
      <c r="A166" s="12">
        <v>4</v>
      </c>
      <c r="B166" s="13" t="s">
        <v>48</v>
      </c>
      <c r="C166" s="13" t="s">
        <v>7</v>
      </c>
      <c r="D166" s="15">
        <f>E166*$D$155*12</f>
        <v>113.25599999999999</v>
      </c>
      <c r="E166" s="15">
        <v>0.1573</v>
      </c>
      <c r="F166" s="2"/>
      <c r="H166" s="51"/>
      <c r="I166" s="51"/>
      <c r="J166" s="52"/>
    </row>
    <row r="167" spans="1:10" ht="90">
      <c r="A167" s="12">
        <v>5</v>
      </c>
      <c r="B167" s="13" t="s">
        <v>19</v>
      </c>
      <c r="C167" s="13" t="s">
        <v>49</v>
      </c>
      <c r="D167" s="15">
        <f>E167*$D$155*12</f>
        <v>869.285664</v>
      </c>
      <c r="E167" s="21">
        <v>1.2073412</v>
      </c>
      <c r="F167" s="2"/>
      <c r="H167" s="51"/>
      <c r="I167" s="51"/>
      <c r="J167" s="52"/>
    </row>
    <row r="168" spans="1:6" ht="15">
      <c r="A168" s="95" t="s">
        <v>41</v>
      </c>
      <c r="B168" s="95"/>
      <c r="C168" s="95"/>
      <c r="D168" s="23">
        <f>SUM(D169)</f>
        <v>90.07199999999999</v>
      </c>
      <c r="E168" s="22">
        <f>SUM(E169)</f>
        <v>0.1251</v>
      </c>
      <c r="F168" s="2"/>
    </row>
    <row r="169" spans="1:10" ht="15">
      <c r="A169" s="12">
        <v>6</v>
      </c>
      <c r="B169" s="13" t="s">
        <v>21</v>
      </c>
      <c r="C169" s="13" t="s">
        <v>22</v>
      </c>
      <c r="D169" s="15">
        <f>E169*$D$155*12</f>
        <v>90.07199999999999</v>
      </c>
      <c r="E169" s="53">
        <v>0.1251</v>
      </c>
      <c r="F169" s="2"/>
      <c r="H169" s="51"/>
      <c r="I169" s="51"/>
      <c r="J169" s="52"/>
    </row>
    <row r="170" spans="1:6" ht="15">
      <c r="A170" s="8"/>
      <c r="B170" s="24" t="s">
        <v>24</v>
      </c>
      <c r="C170" s="24"/>
      <c r="D170" s="25">
        <f>D160+D163+D165+D168</f>
        <v>1494.036864</v>
      </c>
      <c r="E170" s="17">
        <f>E160+E163+E165+E168</f>
        <v>2.0750512</v>
      </c>
      <c r="F170" s="5"/>
    </row>
    <row r="171" spans="1:6" ht="15">
      <c r="A171" s="26"/>
      <c r="B171" s="27"/>
      <c r="C171" s="28"/>
      <c r="D171" s="29"/>
      <c r="E171" s="30"/>
      <c r="F171" s="2"/>
    </row>
    <row r="172" spans="1:6" ht="105">
      <c r="A172" s="10" t="s">
        <v>25</v>
      </c>
      <c r="B172" s="10" t="s">
        <v>26</v>
      </c>
      <c r="C172" s="10" t="s">
        <v>27</v>
      </c>
      <c r="D172" s="10" t="s">
        <v>28</v>
      </c>
      <c r="E172" s="10" t="s">
        <v>29</v>
      </c>
      <c r="F172" s="10" t="s">
        <v>30</v>
      </c>
    </row>
    <row r="173" spans="1:6" ht="15">
      <c r="A173" s="10">
        <v>1</v>
      </c>
      <c r="B173" s="7" t="s">
        <v>110</v>
      </c>
      <c r="C173" s="10" t="s">
        <v>200</v>
      </c>
      <c r="D173" s="10">
        <v>1257.5</v>
      </c>
      <c r="E173" s="33">
        <f>D173/12/$D$155</f>
        <v>1.746527777777778</v>
      </c>
      <c r="F173" s="34">
        <v>2</v>
      </c>
    </row>
    <row r="174" spans="1:6" ht="15">
      <c r="A174" s="10"/>
      <c r="B174" s="36" t="s">
        <v>31</v>
      </c>
      <c r="C174" s="9"/>
      <c r="D174" s="37">
        <f>SUM(D173:D173)</f>
        <v>1257.5</v>
      </c>
      <c r="E174" s="38">
        <f>SUM(E173:E173)</f>
        <v>1.746527777777778</v>
      </c>
      <c r="F174" s="39"/>
    </row>
    <row r="175" spans="1:6" ht="15">
      <c r="A175" s="26"/>
      <c r="B175" s="27"/>
      <c r="C175" s="40"/>
      <c r="D175" s="40"/>
      <c r="E175" s="40"/>
      <c r="F175" s="40"/>
    </row>
    <row r="176" spans="1:6" ht="28.5" customHeight="1">
      <c r="A176" s="26"/>
      <c r="B176" s="27" t="s">
        <v>32</v>
      </c>
      <c r="C176" s="41">
        <f>D170+D174</f>
        <v>2751.5368639999997</v>
      </c>
      <c r="D176" s="41"/>
      <c r="E176" s="41"/>
      <c r="F176" s="40"/>
    </row>
    <row r="177" spans="1:6" ht="15">
      <c r="A177" s="26"/>
      <c r="B177" s="27" t="s">
        <v>33</v>
      </c>
      <c r="C177" s="42">
        <f>E170+E174</f>
        <v>3.8215789777777776</v>
      </c>
      <c r="D177" s="40"/>
      <c r="E177" s="40"/>
      <c r="F177" s="40"/>
    </row>
    <row r="178" spans="1:6" ht="15">
      <c r="A178" s="26"/>
      <c r="B178" s="27"/>
      <c r="C178" s="42"/>
      <c r="D178" s="40"/>
      <c r="E178" s="40"/>
      <c r="F178" s="40"/>
    </row>
    <row r="179" spans="1:6" ht="32.25" customHeight="1">
      <c r="A179" s="88" t="s">
        <v>105</v>
      </c>
      <c r="B179" s="88"/>
      <c r="C179" s="88"/>
      <c r="D179" s="88"/>
      <c r="E179" s="88"/>
      <c r="F179" s="88"/>
    </row>
    <row r="180" spans="1:6" ht="15">
      <c r="A180" s="1"/>
      <c r="B180" s="1"/>
      <c r="C180" s="1"/>
      <c r="D180" s="2"/>
      <c r="E180" s="2"/>
      <c r="F180" s="2"/>
    </row>
    <row r="181" spans="1:6" ht="85.5">
      <c r="A181" s="7"/>
      <c r="B181" s="8" t="s">
        <v>1</v>
      </c>
      <c r="C181" s="8" t="s">
        <v>2</v>
      </c>
      <c r="D181" s="8" t="s">
        <v>3</v>
      </c>
      <c r="E181" s="8" t="s">
        <v>4</v>
      </c>
      <c r="F181" s="2"/>
    </row>
    <row r="182" spans="1:5" ht="30" customHeight="1">
      <c r="A182" s="89" t="s">
        <v>123</v>
      </c>
      <c r="B182" s="89"/>
      <c r="C182" s="89"/>
      <c r="D182" s="17">
        <f>D183</f>
        <v>7.199999999999999</v>
      </c>
      <c r="E182" s="17">
        <f>E183</f>
        <v>0.01</v>
      </c>
    </row>
    <row r="183" spans="1:5" ht="30">
      <c r="A183" s="12" t="s">
        <v>5</v>
      </c>
      <c r="B183" s="43" t="s">
        <v>35</v>
      </c>
      <c r="C183" s="43" t="s">
        <v>42</v>
      </c>
      <c r="D183" s="15">
        <f>E183*$D$155*12</f>
        <v>7.199999999999999</v>
      </c>
      <c r="E183" s="44">
        <v>0.01</v>
      </c>
    </row>
    <row r="184" spans="1:5" ht="29.25" customHeight="1">
      <c r="A184" s="89" t="s">
        <v>102</v>
      </c>
      <c r="B184" s="89"/>
      <c r="C184" s="89"/>
      <c r="D184" s="17">
        <f>D185</f>
        <v>43.199999999999996</v>
      </c>
      <c r="E184" s="17">
        <f>E185</f>
        <v>0.06</v>
      </c>
    </row>
    <row r="185" spans="1:5" ht="15">
      <c r="A185" s="12" t="s">
        <v>34</v>
      </c>
      <c r="B185" s="45" t="s">
        <v>9</v>
      </c>
      <c r="C185" s="7" t="s">
        <v>42</v>
      </c>
      <c r="D185" s="15">
        <f>E185*$D$155*12</f>
        <v>43.199999999999996</v>
      </c>
      <c r="E185" s="16">
        <v>0.06</v>
      </c>
    </row>
    <row r="186" spans="1:6" ht="15">
      <c r="A186" s="8"/>
      <c r="B186" s="24" t="s">
        <v>24</v>
      </c>
      <c r="C186" s="24"/>
      <c r="D186" s="25">
        <f>D182+D184</f>
        <v>50.39999999999999</v>
      </c>
      <c r="E186" s="17">
        <f>E182+E184</f>
        <v>0.06999999999999999</v>
      </c>
      <c r="F186" s="5"/>
    </row>
    <row r="187" spans="1:6" ht="15">
      <c r="A187" s="2"/>
      <c r="B187" s="2"/>
      <c r="C187" s="2"/>
      <c r="D187" s="2"/>
      <c r="E187" s="2"/>
      <c r="F187" s="2"/>
    </row>
    <row r="188" spans="1:6" ht="105">
      <c r="A188" s="10" t="s">
        <v>25</v>
      </c>
      <c r="B188" s="10" t="s">
        <v>26</v>
      </c>
      <c r="C188" s="10" t="s">
        <v>27</v>
      </c>
      <c r="D188" s="10" t="s">
        <v>28</v>
      </c>
      <c r="E188" s="10" t="s">
        <v>36</v>
      </c>
      <c r="F188" s="10" t="s">
        <v>30</v>
      </c>
    </row>
    <row r="189" spans="1:6" ht="15">
      <c r="A189" s="10">
        <v>1</v>
      </c>
      <c r="B189" s="7" t="s">
        <v>110</v>
      </c>
      <c r="C189" s="10" t="s">
        <v>200</v>
      </c>
      <c r="D189" s="10">
        <v>1257.5</v>
      </c>
      <c r="E189" s="46">
        <f>D189/12/$D$155</f>
        <v>1.746527777777778</v>
      </c>
      <c r="F189" s="10">
        <v>2</v>
      </c>
    </row>
    <row r="190" spans="1:6" ht="15">
      <c r="A190" s="47"/>
      <c r="B190" s="47" t="s">
        <v>31</v>
      </c>
      <c r="C190" s="47"/>
      <c r="D190" s="48">
        <f>SUM(D189:D189)</f>
        <v>1257.5</v>
      </c>
      <c r="E190" s="49">
        <f>SUM(E189:E189)</f>
        <v>1.746527777777778</v>
      </c>
      <c r="F190" s="47"/>
    </row>
    <row r="192" spans="2:3" ht="43.5">
      <c r="B192" s="27" t="s">
        <v>205</v>
      </c>
      <c r="C192" s="58">
        <f>C23+C62+C100+C138+C176-0.5</f>
        <v>15998.069914104412</v>
      </c>
    </row>
  </sheetData>
  <mergeCells count="40">
    <mergeCell ref="A4:E4"/>
    <mergeCell ref="A7:C7"/>
    <mergeCell ref="A10:C10"/>
    <mergeCell ref="A12:C12"/>
    <mergeCell ref="A15:C15"/>
    <mergeCell ref="A26:F26"/>
    <mergeCell ref="A29:C29"/>
    <mergeCell ref="A31:C31"/>
    <mergeCell ref="A43:E43"/>
    <mergeCell ref="A46:C46"/>
    <mergeCell ref="A49:C49"/>
    <mergeCell ref="A51:C51"/>
    <mergeCell ref="A54:C54"/>
    <mergeCell ref="A65:F65"/>
    <mergeCell ref="A68:C68"/>
    <mergeCell ref="A70:C70"/>
    <mergeCell ref="A80:E80"/>
    <mergeCell ref="A83:C83"/>
    <mergeCell ref="A86:C86"/>
    <mergeCell ref="A88:C88"/>
    <mergeCell ref="A91:C91"/>
    <mergeCell ref="A103:F103"/>
    <mergeCell ref="A106:C106"/>
    <mergeCell ref="A108:C108"/>
    <mergeCell ref="A118:E118"/>
    <mergeCell ref="A121:C121"/>
    <mergeCell ref="A124:C124"/>
    <mergeCell ref="A126:C126"/>
    <mergeCell ref="A129:C129"/>
    <mergeCell ref="A141:F141"/>
    <mergeCell ref="A144:C144"/>
    <mergeCell ref="A146:C146"/>
    <mergeCell ref="A157:E157"/>
    <mergeCell ref="A160:C160"/>
    <mergeCell ref="A163:C163"/>
    <mergeCell ref="A165:C165"/>
    <mergeCell ref="A168:C168"/>
    <mergeCell ref="A179:F179"/>
    <mergeCell ref="A182:C182"/>
    <mergeCell ref="A184:C184"/>
  </mergeCells>
  <printOptions/>
  <pageMargins left="0.7874015748031497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8"/>
  <sheetViews>
    <sheetView workbookViewId="0" topLeftCell="A1">
      <selection activeCell="D111" sqref="D111"/>
    </sheetView>
  </sheetViews>
  <sheetFormatPr defaultColWidth="9.140625" defaultRowHeight="12.75"/>
  <cols>
    <col min="1" max="1" width="3.421875" style="3" customWidth="1"/>
    <col min="2" max="2" width="39.57421875" style="3" customWidth="1"/>
    <col min="3" max="3" width="17.421875" style="3" customWidth="1"/>
    <col min="4" max="4" width="11.28125" style="3" customWidth="1"/>
    <col min="5" max="5" width="12.57421875" style="3" customWidth="1"/>
    <col min="6" max="6" width="8.57421875" style="3" customWidth="1"/>
    <col min="7" max="16384" width="9.140625" style="3" customWidth="1"/>
  </cols>
  <sheetData>
    <row r="1" ht="15">
      <c r="B1" s="56" t="s">
        <v>55</v>
      </c>
    </row>
    <row r="2" spans="1:6" ht="24" customHeight="1">
      <c r="A2" s="2"/>
      <c r="B2" s="1" t="s">
        <v>210</v>
      </c>
      <c r="C2" s="4"/>
      <c r="D2" s="50">
        <v>82.8</v>
      </c>
      <c r="E2" s="5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29.25" customHeight="1">
      <c r="A4" s="88" t="s">
        <v>104</v>
      </c>
      <c r="B4" s="88"/>
      <c r="C4" s="88"/>
      <c r="D4" s="88"/>
      <c r="E4" s="88"/>
      <c r="F4" s="2"/>
    </row>
    <row r="5" spans="1:6" ht="15">
      <c r="A5" s="1"/>
      <c r="B5" s="1"/>
      <c r="C5" s="1"/>
      <c r="D5" s="1"/>
      <c r="E5" s="1"/>
      <c r="F5" s="2"/>
    </row>
    <row r="6" spans="1:6" ht="85.5">
      <c r="A6" s="7"/>
      <c r="B6" s="8" t="s">
        <v>1</v>
      </c>
      <c r="C6" s="8" t="s">
        <v>2</v>
      </c>
      <c r="D6" s="8" t="s">
        <v>3</v>
      </c>
      <c r="E6" s="8" t="s">
        <v>4</v>
      </c>
      <c r="F6" s="2"/>
    </row>
    <row r="7" spans="1:7" ht="15">
      <c r="A7" s="90" t="s">
        <v>37</v>
      </c>
      <c r="B7" s="91"/>
      <c r="C7" s="92"/>
      <c r="D7" s="17">
        <f>SUM(D8:D9)</f>
        <v>403.7137315399699</v>
      </c>
      <c r="E7" s="17">
        <f>SUM(E8:E9)</f>
        <v>0.40631414204908406</v>
      </c>
      <c r="F7" s="20"/>
      <c r="G7" s="19"/>
    </row>
    <row r="8" spans="1:7" ht="15.75" customHeight="1">
      <c r="A8" s="12">
        <v>1</v>
      </c>
      <c r="B8" s="7" t="s">
        <v>11</v>
      </c>
      <c r="C8" s="14" t="s">
        <v>12</v>
      </c>
      <c r="D8" s="15">
        <f>E8*$D$2*12</f>
        <v>369.3629748764592</v>
      </c>
      <c r="E8" s="53">
        <v>0.37174212447308697</v>
      </c>
      <c r="F8" s="18"/>
      <c r="G8" s="19"/>
    </row>
    <row r="9" spans="1:7" ht="30">
      <c r="A9" s="12">
        <v>2</v>
      </c>
      <c r="B9" s="13" t="s">
        <v>13</v>
      </c>
      <c r="C9" s="13" t="s">
        <v>14</v>
      </c>
      <c r="D9" s="15">
        <f>E9*$D$2*12</f>
        <v>34.35075666351071</v>
      </c>
      <c r="E9" s="53">
        <v>0.03457201757599709</v>
      </c>
      <c r="F9" s="18"/>
      <c r="G9" s="19"/>
    </row>
    <row r="10" spans="1:7" ht="29.25" customHeight="1">
      <c r="A10" s="90" t="s">
        <v>103</v>
      </c>
      <c r="B10" s="93"/>
      <c r="C10" s="94"/>
      <c r="D10" s="22">
        <f>SUM(D11:D11)</f>
        <v>17.493366012269497</v>
      </c>
      <c r="E10" s="22">
        <f>SUM(E11:E11)</f>
        <v>0.017606044698338867</v>
      </c>
      <c r="F10" s="18"/>
      <c r="G10" s="19"/>
    </row>
    <row r="11" spans="1:10" ht="75" customHeight="1">
      <c r="A11" s="12">
        <v>3</v>
      </c>
      <c r="B11" s="13" t="s">
        <v>38</v>
      </c>
      <c r="C11" s="13" t="s">
        <v>7</v>
      </c>
      <c r="D11" s="15">
        <f>E11*12*$D$2</f>
        <v>17.493366012269497</v>
      </c>
      <c r="E11" s="15">
        <v>0.017606044698338867</v>
      </c>
      <c r="F11" s="2"/>
      <c r="H11" s="51"/>
      <c r="I11" s="51"/>
      <c r="J11" s="52"/>
    </row>
    <row r="12" spans="1:9" ht="15">
      <c r="A12" s="95" t="s">
        <v>39</v>
      </c>
      <c r="B12" s="96"/>
      <c r="C12" s="96"/>
      <c r="D12" s="11">
        <f>SUM(D13:D14)</f>
        <v>1373.5615942573245</v>
      </c>
      <c r="E12" s="11">
        <f>SUM(E13:E14)</f>
        <v>1.3824090119337002</v>
      </c>
      <c r="F12" s="2"/>
      <c r="G12" s="51"/>
      <c r="H12" s="51"/>
      <c r="I12" s="52"/>
    </row>
    <row r="13" spans="1:9" ht="75">
      <c r="A13" s="12">
        <v>4</v>
      </c>
      <c r="B13" s="13" t="s">
        <v>48</v>
      </c>
      <c r="C13" s="13" t="s">
        <v>7</v>
      </c>
      <c r="D13" s="15">
        <f>E13*12*$D$2</f>
        <v>156.27050226742423</v>
      </c>
      <c r="E13" s="15">
        <v>0.1572770755509503</v>
      </c>
      <c r="F13" s="2"/>
      <c r="G13" s="51"/>
      <c r="H13" s="51"/>
      <c r="I13" s="52"/>
    </row>
    <row r="14" spans="1:9" ht="90">
      <c r="A14" s="12">
        <v>5</v>
      </c>
      <c r="B14" s="13" t="s">
        <v>19</v>
      </c>
      <c r="C14" s="13" t="s">
        <v>49</v>
      </c>
      <c r="D14" s="15">
        <f>E14*12*$D$2</f>
        <v>1217.2910919899002</v>
      </c>
      <c r="E14" s="21">
        <v>1.22513193638275</v>
      </c>
      <c r="F14" s="2"/>
      <c r="G14" s="51"/>
      <c r="H14" s="51"/>
      <c r="I14" s="52"/>
    </row>
    <row r="15" spans="1:9" ht="15">
      <c r="A15" s="95" t="s">
        <v>41</v>
      </c>
      <c r="B15" s="95"/>
      <c r="C15" s="95"/>
      <c r="D15" s="23">
        <f>SUM(D16)</f>
        <v>94.29264</v>
      </c>
      <c r="E15" s="22">
        <f>SUM(E16)</f>
        <v>0.0949</v>
      </c>
      <c r="F15" s="2"/>
      <c r="G15" s="54"/>
      <c r="H15" s="54"/>
      <c r="I15" s="54"/>
    </row>
    <row r="16" spans="1:15" ht="15">
      <c r="A16" s="12">
        <v>6</v>
      </c>
      <c r="B16" s="13" t="s">
        <v>21</v>
      </c>
      <c r="C16" s="13" t="s">
        <v>22</v>
      </c>
      <c r="D16" s="15">
        <f>E16*12*$D$2</f>
        <v>94.29264</v>
      </c>
      <c r="E16" s="53">
        <v>0.0949</v>
      </c>
      <c r="F16" s="2"/>
      <c r="H16" s="51"/>
      <c r="I16" s="51"/>
      <c r="J16" s="51"/>
      <c r="K16" s="51"/>
      <c r="L16" s="51"/>
      <c r="M16" s="51"/>
      <c r="N16" s="51"/>
      <c r="O16" s="52"/>
    </row>
    <row r="17" spans="1:15" ht="15">
      <c r="A17" s="8"/>
      <c r="B17" s="24" t="s">
        <v>24</v>
      </c>
      <c r="C17" s="24"/>
      <c r="D17" s="25">
        <f>D7+D10+D12+D15</f>
        <v>1889.0613318095639</v>
      </c>
      <c r="E17" s="17">
        <f>E7+E10+E12+E15</f>
        <v>1.9012291986811232</v>
      </c>
      <c r="F17" s="5"/>
      <c r="H17" s="51"/>
      <c r="I17" s="51"/>
      <c r="J17" s="52"/>
      <c r="K17" s="54"/>
      <c r="L17" s="54"/>
      <c r="M17" s="54"/>
      <c r="N17" s="54"/>
      <c r="O17" s="54"/>
    </row>
    <row r="18" spans="1:6" ht="15">
      <c r="A18" s="26"/>
      <c r="B18" s="27"/>
      <c r="C18" s="28"/>
      <c r="D18" s="29"/>
      <c r="E18" s="30"/>
      <c r="F18" s="2"/>
    </row>
    <row r="19" spans="1:6" ht="105">
      <c r="A19" s="10" t="s">
        <v>25</v>
      </c>
      <c r="B19" s="10" t="s">
        <v>26</v>
      </c>
      <c r="C19" s="10" t="s">
        <v>27</v>
      </c>
      <c r="D19" s="10" t="s">
        <v>28</v>
      </c>
      <c r="E19" s="10" t="s">
        <v>29</v>
      </c>
      <c r="F19" s="10" t="s">
        <v>30</v>
      </c>
    </row>
    <row r="20" spans="1:6" ht="15">
      <c r="A20" s="10">
        <v>1</v>
      </c>
      <c r="B20" s="7" t="s">
        <v>110</v>
      </c>
      <c r="C20" s="10" t="s">
        <v>119</v>
      </c>
      <c r="D20" s="10">
        <v>1760.5</v>
      </c>
      <c r="E20" s="33">
        <f>D20/12/$D$2</f>
        <v>1.7718397745571661</v>
      </c>
      <c r="F20" s="34">
        <v>2</v>
      </c>
    </row>
    <row r="21" spans="1:6" ht="15">
      <c r="A21" s="10"/>
      <c r="B21" s="36" t="s">
        <v>31</v>
      </c>
      <c r="C21" s="9"/>
      <c r="D21" s="37">
        <f>SUM(D20:D20)</f>
        <v>1760.5</v>
      </c>
      <c r="E21" s="38">
        <f>SUM(E20:E20)</f>
        <v>1.7718397745571661</v>
      </c>
      <c r="F21" s="39"/>
    </row>
    <row r="22" spans="1:6" ht="15">
      <c r="A22" s="26"/>
      <c r="B22" s="27"/>
      <c r="C22" s="40"/>
      <c r="D22" s="40"/>
      <c r="E22" s="40"/>
      <c r="F22" s="40"/>
    </row>
    <row r="23" spans="1:6" ht="43.5">
      <c r="A23" s="26"/>
      <c r="B23" s="27" t="s">
        <v>32</v>
      </c>
      <c r="C23" s="41">
        <f>D17+D21</f>
        <v>3649.561331809564</v>
      </c>
      <c r="D23" s="41"/>
      <c r="E23" s="41"/>
      <c r="F23" s="40"/>
    </row>
    <row r="24" spans="1:6" ht="15">
      <c r="A24" s="26"/>
      <c r="B24" s="27" t="s">
        <v>33</v>
      </c>
      <c r="C24" s="42">
        <f>E17+E21</f>
        <v>3.6730689732382893</v>
      </c>
      <c r="D24" s="40"/>
      <c r="E24" s="40"/>
      <c r="F24" s="40"/>
    </row>
    <row r="25" spans="1:6" ht="11.25" customHeight="1">
      <c r="A25" s="26"/>
      <c r="B25" s="27"/>
      <c r="C25" s="42"/>
      <c r="D25" s="40"/>
      <c r="E25" s="40"/>
      <c r="F25" s="40"/>
    </row>
    <row r="26" spans="1:6" ht="33" customHeight="1">
      <c r="A26" s="88" t="s">
        <v>105</v>
      </c>
      <c r="B26" s="88"/>
      <c r="C26" s="88"/>
      <c r="D26" s="88"/>
      <c r="E26" s="88"/>
      <c r="F26" s="88"/>
    </row>
    <row r="27" spans="1:6" ht="6" customHeight="1">
      <c r="A27" s="1"/>
      <c r="B27" s="1"/>
      <c r="C27" s="1"/>
      <c r="D27" s="2"/>
      <c r="E27" s="2"/>
      <c r="F27" s="2"/>
    </row>
    <row r="28" spans="1:6" ht="85.5">
      <c r="A28" s="7"/>
      <c r="B28" s="8" t="s">
        <v>1</v>
      </c>
      <c r="C28" s="8" t="s">
        <v>2</v>
      </c>
      <c r="D28" s="8" t="s">
        <v>3</v>
      </c>
      <c r="E28" s="8" t="s">
        <v>4</v>
      </c>
      <c r="F28" s="2"/>
    </row>
    <row r="29" spans="1:5" ht="30" customHeight="1">
      <c r="A29" s="89" t="s">
        <v>123</v>
      </c>
      <c r="B29" s="89"/>
      <c r="C29" s="89"/>
      <c r="D29" s="17">
        <f>D30</f>
        <v>9.936</v>
      </c>
      <c r="E29" s="17">
        <f>E30</f>
        <v>0.01</v>
      </c>
    </row>
    <row r="30" spans="1:5" ht="30">
      <c r="A30" s="12" t="s">
        <v>5</v>
      </c>
      <c r="B30" s="43" t="s">
        <v>35</v>
      </c>
      <c r="C30" s="43" t="s">
        <v>42</v>
      </c>
      <c r="D30" s="15">
        <f>E30*12*$D$2</f>
        <v>9.936</v>
      </c>
      <c r="E30" s="44">
        <v>0.01</v>
      </c>
    </row>
    <row r="31" spans="1:5" ht="30" customHeight="1">
      <c r="A31" s="89" t="s">
        <v>102</v>
      </c>
      <c r="B31" s="89"/>
      <c r="C31" s="89"/>
      <c r="D31" s="17">
        <f>D32</f>
        <v>59.616</v>
      </c>
      <c r="E31" s="17">
        <f>E32</f>
        <v>0.06</v>
      </c>
    </row>
    <row r="32" spans="1:5" ht="15">
      <c r="A32" s="12" t="s">
        <v>34</v>
      </c>
      <c r="B32" s="45" t="s">
        <v>9</v>
      </c>
      <c r="C32" s="7" t="s">
        <v>42</v>
      </c>
      <c r="D32" s="15">
        <f>E32*$D$2*12</f>
        <v>59.616</v>
      </c>
      <c r="E32" s="16">
        <v>0.06</v>
      </c>
    </row>
    <row r="33" spans="1:6" ht="15">
      <c r="A33" s="8"/>
      <c r="B33" s="24" t="s">
        <v>24</v>
      </c>
      <c r="C33" s="24"/>
      <c r="D33" s="25">
        <f>D29+D31</f>
        <v>69.55199999999999</v>
      </c>
      <c r="E33" s="17">
        <f>E29+E31</f>
        <v>0.06999999999999999</v>
      </c>
      <c r="F33" s="5"/>
    </row>
    <row r="34" spans="1:6" ht="5.25" customHeight="1">
      <c r="A34" s="2"/>
      <c r="B34" s="2"/>
      <c r="C34" s="2"/>
      <c r="D34" s="2"/>
      <c r="E34" s="2"/>
      <c r="F34" s="2"/>
    </row>
    <row r="35" spans="1:6" ht="3.75" customHeight="1">
      <c r="A35" s="31"/>
      <c r="B35" s="31"/>
      <c r="C35" s="31"/>
      <c r="D35" s="31"/>
      <c r="E35" s="31"/>
      <c r="F35" s="32"/>
    </row>
    <row r="36" spans="1:6" ht="105">
      <c r="A36" s="10" t="s">
        <v>25</v>
      </c>
      <c r="B36" s="10" t="s">
        <v>26</v>
      </c>
      <c r="C36" s="10" t="s">
        <v>27</v>
      </c>
      <c r="D36" s="10" t="s">
        <v>28</v>
      </c>
      <c r="E36" s="10" t="s">
        <v>36</v>
      </c>
      <c r="F36" s="10" t="s">
        <v>30</v>
      </c>
    </row>
    <row r="37" spans="1:6" ht="15">
      <c r="A37" s="10">
        <v>1</v>
      </c>
      <c r="B37" s="7" t="s">
        <v>110</v>
      </c>
      <c r="C37" s="10" t="s">
        <v>119</v>
      </c>
      <c r="D37" s="10">
        <v>1760.5</v>
      </c>
      <c r="E37" s="46">
        <f>D37/12/$D$2</f>
        <v>1.7718397745571661</v>
      </c>
      <c r="F37" s="10">
        <v>2</v>
      </c>
    </row>
    <row r="38" spans="1:6" ht="15">
      <c r="A38" s="47"/>
      <c r="B38" s="47" t="s">
        <v>31</v>
      </c>
      <c r="C38" s="47"/>
      <c r="D38" s="48">
        <f>SUM(D37:D37)</f>
        <v>1760.5</v>
      </c>
      <c r="E38" s="49">
        <f>SUM(E37:E37)</f>
        <v>1.7718397745571661</v>
      </c>
      <c r="F38" s="47"/>
    </row>
    <row r="40" spans="1:6" ht="15">
      <c r="A40" s="2"/>
      <c r="B40" s="1" t="s">
        <v>211</v>
      </c>
      <c r="C40" s="4"/>
      <c r="D40" s="57">
        <v>75</v>
      </c>
      <c r="E40" s="5" t="s">
        <v>0</v>
      </c>
      <c r="F40" s="2"/>
    </row>
    <row r="41" spans="1:6" ht="6.75" customHeight="1">
      <c r="A41" s="2"/>
      <c r="B41" s="6"/>
      <c r="C41" s="2"/>
      <c r="D41" s="2"/>
      <c r="E41" s="2"/>
      <c r="F41" s="2"/>
    </row>
    <row r="42" spans="1:6" ht="30" customHeight="1">
      <c r="A42" s="88" t="s">
        <v>104</v>
      </c>
      <c r="B42" s="88"/>
      <c r="C42" s="88"/>
      <c r="D42" s="88"/>
      <c r="E42" s="88"/>
      <c r="F42" s="2"/>
    </row>
    <row r="43" spans="1:6" ht="7.5" customHeight="1">
      <c r="A43" s="1"/>
      <c r="B43" s="1"/>
      <c r="C43" s="1"/>
      <c r="D43" s="1"/>
      <c r="E43" s="1"/>
      <c r="F43" s="2"/>
    </row>
    <row r="44" spans="1:6" ht="85.5">
      <c r="A44" s="7"/>
      <c r="B44" s="8" t="s">
        <v>1</v>
      </c>
      <c r="C44" s="8" t="s">
        <v>2</v>
      </c>
      <c r="D44" s="8" t="s">
        <v>3</v>
      </c>
      <c r="E44" s="8" t="s">
        <v>4</v>
      </c>
      <c r="F44" s="2"/>
    </row>
    <row r="45" spans="1:6" ht="15">
      <c r="A45" s="90" t="s">
        <v>37</v>
      </c>
      <c r="B45" s="91"/>
      <c r="C45" s="92"/>
      <c r="D45" s="17">
        <f>SUM(D46:D47)</f>
        <v>403.7137315399699</v>
      </c>
      <c r="E45" s="17">
        <f>SUM(E46:E47)</f>
        <v>0.4485708128221888</v>
      </c>
      <c r="F45" s="20"/>
    </row>
    <row r="46" spans="1:6" ht="15">
      <c r="A46" s="12">
        <v>1</v>
      </c>
      <c r="B46" s="7" t="s">
        <v>11</v>
      </c>
      <c r="C46" s="14" t="s">
        <v>12</v>
      </c>
      <c r="D46" s="15">
        <f>E46*$D$40*12</f>
        <v>369.3629748764592</v>
      </c>
      <c r="E46" s="55">
        <v>0.410403305418288</v>
      </c>
      <c r="F46" s="18"/>
    </row>
    <row r="47" spans="1:6" ht="30">
      <c r="A47" s="12">
        <v>2</v>
      </c>
      <c r="B47" s="13" t="s">
        <v>13</v>
      </c>
      <c r="C47" s="13" t="s">
        <v>14</v>
      </c>
      <c r="D47" s="15">
        <f>E47*$D$40*12</f>
        <v>34.35075666351071</v>
      </c>
      <c r="E47" s="55">
        <v>0.038167507403900784</v>
      </c>
      <c r="F47" s="18"/>
    </row>
    <row r="48" spans="1:6" ht="30.75" customHeight="1">
      <c r="A48" s="90" t="s">
        <v>103</v>
      </c>
      <c r="B48" s="93"/>
      <c r="C48" s="94"/>
      <c r="D48" s="22">
        <f>SUM(D49:D49)</f>
        <v>17.493366012269497</v>
      </c>
      <c r="E48" s="22">
        <f>SUM(E49:E49)</f>
        <v>0.019437073346966108</v>
      </c>
      <c r="F48" s="18"/>
    </row>
    <row r="49" spans="1:6" ht="75">
      <c r="A49" s="12">
        <v>3</v>
      </c>
      <c r="B49" s="13" t="s">
        <v>38</v>
      </c>
      <c r="C49" s="13" t="s">
        <v>7</v>
      </c>
      <c r="D49" s="15">
        <f>E49*12*$D$40</f>
        <v>17.493366012269497</v>
      </c>
      <c r="E49" s="55">
        <v>0.019437073346966108</v>
      </c>
      <c r="F49" s="2"/>
    </row>
    <row r="50" spans="1:6" ht="15">
      <c r="A50" s="95" t="s">
        <v>39</v>
      </c>
      <c r="B50" s="96"/>
      <c r="C50" s="96"/>
      <c r="D50" s="11">
        <f>SUM(D51:D52)</f>
        <v>1264.9833109952883</v>
      </c>
      <c r="E50" s="11">
        <f>SUM(E51:E52)</f>
        <v>1.4055370122169868</v>
      </c>
      <c r="F50" s="2"/>
    </row>
    <row r="51" spans="1:10" ht="75">
      <c r="A51" s="12">
        <v>4</v>
      </c>
      <c r="B51" s="13" t="s">
        <v>48</v>
      </c>
      <c r="C51" s="13" t="s">
        <v>7</v>
      </c>
      <c r="D51" s="15">
        <f>E51*12*$D$40</f>
        <v>141.5493679958553</v>
      </c>
      <c r="E51" s="55">
        <v>0.15727707555095033</v>
      </c>
      <c r="F51" s="2"/>
      <c r="G51" s="51"/>
      <c r="H51" s="51"/>
      <c r="I51" s="51"/>
      <c r="J51" s="52"/>
    </row>
    <row r="52" spans="1:9" ht="90">
      <c r="A52" s="12">
        <v>5</v>
      </c>
      <c r="B52" s="13" t="s">
        <v>19</v>
      </c>
      <c r="C52" s="13" t="s">
        <v>49</v>
      </c>
      <c r="D52" s="15">
        <f>E52*12*$D$40</f>
        <v>1123.433942999433</v>
      </c>
      <c r="E52" s="21">
        <v>1.2482599366660365</v>
      </c>
      <c r="F52" s="2"/>
      <c r="G52" s="51"/>
      <c r="H52" s="51"/>
      <c r="I52" s="52"/>
    </row>
    <row r="53" spans="1:6" ht="15">
      <c r="A53" s="95" t="s">
        <v>41</v>
      </c>
      <c r="B53" s="95"/>
      <c r="C53" s="95"/>
      <c r="D53" s="23">
        <f>SUM(D54)</f>
        <v>92.79</v>
      </c>
      <c r="E53" s="22">
        <f>SUM(E54)</f>
        <v>0.1031</v>
      </c>
      <c r="F53" s="2"/>
    </row>
    <row r="54" spans="1:11" ht="15">
      <c r="A54" s="12">
        <v>6</v>
      </c>
      <c r="B54" s="13" t="s">
        <v>21</v>
      </c>
      <c r="C54" s="13" t="s">
        <v>22</v>
      </c>
      <c r="D54" s="15">
        <f>E54*12*$D$40</f>
        <v>92.79</v>
      </c>
      <c r="E54" s="53">
        <v>0.1031</v>
      </c>
      <c r="F54" s="2"/>
      <c r="G54" s="51"/>
      <c r="H54" s="51"/>
      <c r="I54" s="51"/>
      <c r="J54" s="52"/>
      <c r="K54" s="54"/>
    </row>
    <row r="55" spans="1:6" ht="15">
      <c r="A55" s="8"/>
      <c r="B55" s="24" t="s">
        <v>24</v>
      </c>
      <c r="C55" s="24"/>
      <c r="D55" s="25">
        <f>D45+D48+D50+D53</f>
        <v>1778.9804085475278</v>
      </c>
      <c r="E55" s="17">
        <f>E45+E48+E50+E53</f>
        <v>1.9766448983861418</v>
      </c>
      <c r="F55" s="5"/>
    </row>
    <row r="56" spans="1:6" ht="15">
      <c r="A56" s="26"/>
      <c r="B56" s="27"/>
      <c r="C56" s="28"/>
      <c r="D56" s="29"/>
      <c r="E56" s="30"/>
      <c r="F56" s="2"/>
    </row>
    <row r="57" spans="1:6" ht="105">
      <c r="A57" s="10" t="s">
        <v>25</v>
      </c>
      <c r="B57" s="10" t="s">
        <v>26</v>
      </c>
      <c r="C57" s="10" t="s">
        <v>27</v>
      </c>
      <c r="D57" s="10" t="s">
        <v>28</v>
      </c>
      <c r="E57" s="10" t="s">
        <v>29</v>
      </c>
      <c r="F57" s="10" t="s">
        <v>30</v>
      </c>
    </row>
    <row r="58" spans="1:6" ht="15">
      <c r="A58" s="10">
        <v>1</v>
      </c>
      <c r="B58" s="7" t="s">
        <v>110</v>
      </c>
      <c r="C58" s="10" t="s">
        <v>47</v>
      </c>
      <c r="D58" s="10">
        <v>1509</v>
      </c>
      <c r="E58" s="33">
        <f>D58/12/$D$40</f>
        <v>1.6766666666666667</v>
      </c>
      <c r="F58" s="34">
        <v>2</v>
      </c>
    </row>
    <row r="59" spans="1:6" ht="15">
      <c r="A59" s="10"/>
      <c r="B59" s="36" t="s">
        <v>31</v>
      </c>
      <c r="C59" s="9"/>
      <c r="D59" s="37">
        <f>SUM(D58:D58)</f>
        <v>1509</v>
      </c>
      <c r="E59" s="38">
        <f>SUM(E58:E58)</f>
        <v>1.6766666666666667</v>
      </c>
      <c r="F59" s="39"/>
    </row>
    <row r="60" spans="1:6" ht="15">
      <c r="A60" s="26"/>
      <c r="B60" s="27"/>
      <c r="C60" s="40"/>
      <c r="D60" s="40"/>
      <c r="E60" s="40"/>
      <c r="F60" s="40"/>
    </row>
    <row r="61" spans="1:6" ht="15">
      <c r="A61" s="26"/>
      <c r="B61" s="27"/>
      <c r="C61" s="40"/>
      <c r="D61" s="40"/>
      <c r="E61" s="40"/>
      <c r="F61" s="40"/>
    </row>
    <row r="62" spans="1:6" ht="31.5" customHeight="1">
      <c r="A62" s="26"/>
      <c r="B62" s="27" t="s">
        <v>32</v>
      </c>
      <c r="C62" s="41">
        <f>D55+D59</f>
        <v>3287.980408547528</v>
      </c>
      <c r="D62" s="41"/>
      <c r="E62" s="41"/>
      <c r="F62" s="40"/>
    </row>
    <row r="63" spans="1:6" ht="15">
      <c r="A63" s="26"/>
      <c r="B63" s="27" t="s">
        <v>33</v>
      </c>
      <c r="C63" s="42">
        <f>E55+E59</f>
        <v>3.6533115650528085</v>
      </c>
      <c r="D63" s="40"/>
      <c r="E63" s="40"/>
      <c r="F63" s="40"/>
    </row>
    <row r="64" spans="1:6" ht="15">
      <c r="A64" s="26"/>
      <c r="B64" s="27"/>
      <c r="C64" s="42"/>
      <c r="D64" s="40"/>
      <c r="E64" s="40"/>
      <c r="F64" s="40"/>
    </row>
    <row r="65" spans="1:6" ht="33" customHeight="1">
      <c r="A65" s="88" t="s">
        <v>105</v>
      </c>
      <c r="B65" s="88"/>
      <c r="C65" s="88"/>
      <c r="D65" s="88"/>
      <c r="E65" s="88"/>
      <c r="F65" s="88"/>
    </row>
    <row r="66" spans="1:6" ht="15">
      <c r="A66" s="1"/>
      <c r="B66" s="1"/>
      <c r="C66" s="1"/>
      <c r="D66" s="2"/>
      <c r="E66" s="2"/>
      <c r="F66" s="2"/>
    </row>
    <row r="67" spans="1:6" ht="85.5">
      <c r="A67" s="7"/>
      <c r="B67" s="8" t="s">
        <v>1</v>
      </c>
      <c r="C67" s="8" t="s">
        <v>2</v>
      </c>
      <c r="D67" s="8" t="s">
        <v>3</v>
      </c>
      <c r="E67" s="8" t="s">
        <v>4</v>
      </c>
      <c r="F67" s="2"/>
    </row>
    <row r="68" spans="1:5" ht="30" customHeight="1">
      <c r="A68" s="89" t="s">
        <v>123</v>
      </c>
      <c r="B68" s="89"/>
      <c r="C68" s="89"/>
      <c r="D68" s="17">
        <f>D69</f>
        <v>9</v>
      </c>
      <c r="E68" s="17">
        <f>E69</f>
        <v>0.01</v>
      </c>
    </row>
    <row r="69" spans="1:5" ht="30">
      <c r="A69" s="12" t="s">
        <v>5</v>
      </c>
      <c r="B69" s="43" t="s">
        <v>35</v>
      </c>
      <c r="C69" s="43" t="s">
        <v>42</v>
      </c>
      <c r="D69" s="15">
        <f>E69*12*$D$40</f>
        <v>9</v>
      </c>
      <c r="E69" s="44">
        <v>0.01</v>
      </c>
    </row>
    <row r="70" spans="1:5" ht="29.25" customHeight="1">
      <c r="A70" s="89" t="s">
        <v>102</v>
      </c>
      <c r="B70" s="89"/>
      <c r="C70" s="89"/>
      <c r="D70" s="17">
        <f>D71</f>
        <v>54</v>
      </c>
      <c r="E70" s="17">
        <f>E71</f>
        <v>0.06</v>
      </c>
    </row>
    <row r="71" spans="1:5" ht="15">
      <c r="A71" s="12" t="s">
        <v>34</v>
      </c>
      <c r="B71" s="45" t="s">
        <v>9</v>
      </c>
      <c r="C71" s="7" t="s">
        <v>42</v>
      </c>
      <c r="D71" s="15">
        <f>E71*$D$40*12</f>
        <v>54</v>
      </c>
      <c r="E71" s="16">
        <v>0.06</v>
      </c>
    </row>
    <row r="72" spans="1:6" ht="15">
      <c r="A72" s="8"/>
      <c r="B72" s="24" t="s">
        <v>24</v>
      </c>
      <c r="C72" s="24"/>
      <c r="D72" s="25">
        <f>D68+D70</f>
        <v>63</v>
      </c>
      <c r="E72" s="17">
        <f>E68+E70</f>
        <v>0.06999999999999999</v>
      </c>
      <c r="F72" s="5"/>
    </row>
    <row r="73" spans="1:6" ht="15">
      <c r="A73" s="2"/>
      <c r="B73" s="2"/>
      <c r="C73" s="2"/>
      <c r="D73" s="2"/>
      <c r="E73" s="2"/>
      <c r="F73" s="2"/>
    </row>
    <row r="74" spans="1:6" ht="105">
      <c r="A74" s="10" t="s">
        <v>25</v>
      </c>
      <c r="B74" s="10" t="s">
        <v>26</v>
      </c>
      <c r="C74" s="10" t="s">
        <v>27</v>
      </c>
      <c r="D74" s="10" t="s">
        <v>28</v>
      </c>
      <c r="E74" s="10" t="s">
        <v>36</v>
      </c>
      <c r="F74" s="10" t="s">
        <v>30</v>
      </c>
    </row>
    <row r="75" spans="1:6" ht="15">
      <c r="A75" s="10">
        <v>1</v>
      </c>
      <c r="B75" s="7" t="s">
        <v>110</v>
      </c>
      <c r="C75" s="10" t="s">
        <v>47</v>
      </c>
      <c r="D75" s="10">
        <v>1509</v>
      </c>
      <c r="E75" s="46">
        <f>D75/12/$D$40</f>
        <v>1.6766666666666667</v>
      </c>
      <c r="F75" s="10">
        <v>2</v>
      </c>
    </row>
    <row r="76" spans="1:6" ht="15">
      <c r="A76" s="47"/>
      <c r="B76" s="47" t="s">
        <v>31</v>
      </c>
      <c r="C76" s="47"/>
      <c r="D76" s="48">
        <f>SUM(D75:D75)</f>
        <v>1509</v>
      </c>
      <c r="E76" s="49">
        <f>SUM(E75:E75)</f>
        <v>1.6766666666666667</v>
      </c>
      <c r="F76" s="47"/>
    </row>
    <row r="79" spans="1:6" ht="15">
      <c r="A79" s="2"/>
      <c r="B79" s="1" t="s">
        <v>212</v>
      </c>
      <c r="C79" s="4"/>
      <c r="D79" s="57">
        <v>75</v>
      </c>
      <c r="E79" s="5" t="s">
        <v>0</v>
      </c>
      <c r="F79" s="2"/>
    </row>
    <row r="80" spans="1:6" ht="15">
      <c r="A80" s="2"/>
      <c r="B80" s="6"/>
      <c r="C80" s="2"/>
      <c r="D80" s="2"/>
      <c r="E80" s="2"/>
      <c r="F80" s="2"/>
    </row>
    <row r="81" spans="1:6" ht="29.25" customHeight="1">
      <c r="A81" s="88" t="s">
        <v>104</v>
      </c>
      <c r="B81" s="88"/>
      <c r="C81" s="88"/>
      <c r="D81" s="88"/>
      <c r="E81" s="88"/>
      <c r="F81" s="2"/>
    </row>
    <row r="82" spans="1:6" ht="15">
      <c r="A82" s="1"/>
      <c r="B82" s="1"/>
      <c r="C82" s="1"/>
      <c r="D82" s="1"/>
      <c r="E82" s="1"/>
      <c r="F82" s="2"/>
    </row>
    <row r="83" spans="1:6" ht="85.5">
      <c r="A83" s="7"/>
      <c r="B83" s="8" t="s">
        <v>1</v>
      </c>
      <c r="C83" s="8" t="s">
        <v>2</v>
      </c>
      <c r="D83" s="8" t="s">
        <v>3</v>
      </c>
      <c r="E83" s="8" t="s">
        <v>4</v>
      </c>
      <c r="F83" s="2"/>
    </row>
    <row r="84" spans="1:6" ht="15">
      <c r="A84" s="90" t="s">
        <v>37</v>
      </c>
      <c r="B84" s="91"/>
      <c r="C84" s="92"/>
      <c r="D84" s="17">
        <f>SUM(D85:D86)</f>
        <v>538.2849753866266</v>
      </c>
      <c r="E84" s="17">
        <f>SUM(E85:E86)</f>
        <v>0.5980944170962518</v>
      </c>
      <c r="F84" s="20"/>
    </row>
    <row r="85" spans="1:6" ht="15">
      <c r="A85" s="12">
        <v>1</v>
      </c>
      <c r="B85" s="7" t="s">
        <v>11</v>
      </c>
      <c r="C85" s="14" t="s">
        <v>12</v>
      </c>
      <c r="D85" s="15">
        <f>E85*$D$79*12</f>
        <v>492.4839665019456</v>
      </c>
      <c r="E85" s="53">
        <v>0.547204407224384</v>
      </c>
      <c r="F85" s="18"/>
    </row>
    <row r="86" spans="1:6" ht="30">
      <c r="A86" s="12">
        <v>2</v>
      </c>
      <c r="B86" s="13" t="s">
        <v>13</v>
      </c>
      <c r="C86" s="13" t="s">
        <v>14</v>
      </c>
      <c r="D86" s="15">
        <f>E86*$D$79*12</f>
        <v>45.801008884680954</v>
      </c>
      <c r="E86" s="53">
        <v>0.050890009871867724</v>
      </c>
      <c r="F86" s="18"/>
    </row>
    <row r="87" spans="1:6" ht="29.25" customHeight="1">
      <c r="A87" s="90" t="s">
        <v>103</v>
      </c>
      <c r="B87" s="93"/>
      <c r="C87" s="94"/>
      <c r="D87" s="22">
        <f>SUM(D88:D88)</f>
        <v>17.493366012269497</v>
      </c>
      <c r="E87" s="22">
        <f>SUM(E88:E88)</f>
        <v>0.019437073346966108</v>
      </c>
      <c r="F87" s="18"/>
    </row>
    <row r="88" spans="1:6" ht="75">
      <c r="A88" s="12">
        <v>3</v>
      </c>
      <c r="B88" s="13" t="s">
        <v>38</v>
      </c>
      <c r="C88" s="13" t="s">
        <v>7</v>
      </c>
      <c r="D88" s="15">
        <f>E88*12*$D$79</f>
        <v>17.493366012269497</v>
      </c>
      <c r="E88" s="15">
        <v>0.019437073346966108</v>
      </c>
      <c r="F88" s="2"/>
    </row>
    <row r="89" spans="1:6" ht="15">
      <c r="A89" s="95" t="s">
        <v>39</v>
      </c>
      <c r="B89" s="96"/>
      <c r="C89" s="96"/>
      <c r="D89" s="11">
        <f>SUM(D90:D91)</f>
        <v>1265.0193679958554</v>
      </c>
      <c r="E89" s="11">
        <f>SUM(E90:E91)</f>
        <v>1.4055770755509502</v>
      </c>
      <c r="F89" s="2"/>
    </row>
    <row r="90" spans="1:9" ht="75">
      <c r="A90" s="12">
        <v>4</v>
      </c>
      <c r="B90" s="13" t="s">
        <v>48</v>
      </c>
      <c r="C90" s="13" t="s">
        <v>7</v>
      </c>
      <c r="D90" s="15">
        <f>E90*12*$D$79</f>
        <v>141.5493679958553</v>
      </c>
      <c r="E90" s="15">
        <v>0.15727707555095033</v>
      </c>
      <c r="F90" s="2"/>
      <c r="G90" s="51"/>
      <c r="H90" s="51"/>
      <c r="I90" s="52"/>
    </row>
    <row r="91" spans="1:10" ht="90">
      <c r="A91" s="12">
        <v>5</v>
      </c>
      <c r="B91" s="13" t="s">
        <v>19</v>
      </c>
      <c r="C91" s="13" t="s">
        <v>49</v>
      </c>
      <c r="D91" s="15">
        <f>E91*12*$D$79</f>
        <v>1123.47</v>
      </c>
      <c r="E91" s="21">
        <v>1.2483</v>
      </c>
      <c r="F91" s="2"/>
      <c r="G91" s="51"/>
      <c r="H91" s="51"/>
      <c r="I91" s="51"/>
      <c r="J91" s="52"/>
    </row>
    <row r="92" spans="1:6" ht="15">
      <c r="A92" s="95" t="s">
        <v>41</v>
      </c>
      <c r="B92" s="95"/>
      <c r="C92" s="95"/>
      <c r="D92" s="23">
        <f>SUM(D93)</f>
        <v>94.8807</v>
      </c>
      <c r="E92" s="22">
        <f>SUM(E93)</f>
        <v>0.105423</v>
      </c>
      <c r="F92" s="2"/>
    </row>
    <row r="93" spans="1:9" ht="15">
      <c r="A93" s="12">
        <v>6</v>
      </c>
      <c r="B93" s="13" t="s">
        <v>21</v>
      </c>
      <c r="C93" s="13" t="s">
        <v>22</v>
      </c>
      <c r="D93" s="15">
        <f>E93*12*$D$79</f>
        <v>94.8807</v>
      </c>
      <c r="E93" s="53">
        <v>0.105423</v>
      </c>
      <c r="F93" s="2"/>
      <c r="G93" s="51"/>
      <c r="H93" s="51"/>
      <c r="I93" s="52"/>
    </row>
    <row r="94" spans="1:6" ht="15">
      <c r="A94" s="8"/>
      <c r="B94" s="24" t="s">
        <v>24</v>
      </c>
      <c r="C94" s="24"/>
      <c r="D94" s="25">
        <f>D84+D87+D89+D92</f>
        <v>1915.6784093947515</v>
      </c>
      <c r="E94" s="17">
        <f>E84+E87+E89+E92</f>
        <v>2.128531565994168</v>
      </c>
      <c r="F94" s="5"/>
    </row>
    <row r="95" spans="1:6" ht="15">
      <c r="A95" s="26"/>
      <c r="B95" s="27"/>
      <c r="C95" s="28"/>
      <c r="D95" s="29"/>
      <c r="E95" s="30"/>
      <c r="F95" s="2"/>
    </row>
    <row r="96" spans="1:6" ht="105">
      <c r="A96" s="10" t="s">
        <v>25</v>
      </c>
      <c r="B96" s="10" t="s">
        <v>26</v>
      </c>
      <c r="C96" s="10" t="s">
        <v>27</v>
      </c>
      <c r="D96" s="10" t="s">
        <v>28</v>
      </c>
      <c r="E96" s="10" t="s">
        <v>29</v>
      </c>
      <c r="F96" s="10" t="s">
        <v>30</v>
      </c>
    </row>
    <row r="97" spans="1:6" ht="15">
      <c r="A97" s="10">
        <v>1</v>
      </c>
      <c r="B97" s="7" t="s">
        <v>110</v>
      </c>
      <c r="C97" s="10" t="s">
        <v>47</v>
      </c>
      <c r="D97" s="10">
        <v>1509</v>
      </c>
      <c r="E97" s="33">
        <f>D97/12/$D$79</f>
        <v>1.6766666666666667</v>
      </c>
      <c r="F97" s="34">
        <v>2</v>
      </c>
    </row>
    <row r="98" spans="1:6" ht="15">
      <c r="A98" s="10"/>
      <c r="B98" s="36" t="s">
        <v>31</v>
      </c>
      <c r="C98" s="9"/>
      <c r="D98" s="37">
        <f>SUM(D97:D97)</f>
        <v>1509</v>
      </c>
      <c r="E98" s="38">
        <f>SUM(E97:E97)</f>
        <v>1.6766666666666667</v>
      </c>
      <c r="F98" s="39"/>
    </row>
    <row r="99" spans="1:6" ht="15">
      <c r="A99" s="26"/>
      <c r="B99" s="27"/>
      <c r="C99" s="40"/>
      <c r="D99" s="40"/>
      <c r="E99" s="40"/>
      <c r="F99" s="40"/>
    </row>
    <row r="100" spans="1:6" ht="15">
      <c r="A100" s="26"/>
      <c r="B100" s="27"/>
      <c r="C100" s="40"/>
      <c r="D100" s="40"/>
      <c r="E100" s="40"/>
      <c r="F100" s="40"/>
    </row>
    <row r="101" spans="1:6" ht="29.25" customHeight="1">
      <c r="A101" s="26"/>
      <c r="B101" s="27" t="s">
        <v>32</v>
      </c>
      <c r="C101" s="41">
        <f>D94+D98</f>
        <v>3424.6784093947517</v>
      </c>
      <c r="D101" s="41"/>
      <c r="E101" s="41"/>
      <c r="F101" s="40"/>
    </row>
    <row r="102" spans="1:6" ht="15">
      <c r="A102" s="26"/>
      <c r="B102" s="27" t="s">
        <v>33</v>
      </c>
      <c r="C102" s="42">
        <f>E94+E98</f>
        <v>3.805198232660835</v>
      </c>
      <c r="D102" s="40"/>
      <c r="E102" s="40"/>
      <c r="F102" s="40"/>
    </row>
    <row r="103" spans="1:6" ht="15">
      <c r="A103" s="26"/>
      <c r="B103" s="27"/>
      <c r="C103" s="42"/>
      <c r="D103" s="40"/>
      <c r="E103" s="40"/>
      <c r="F103" s="40"/>
    </row>
    <row r="104" spans="1:6" ht="29.25" customHeight="1">
      <c r="A104" s="88" t="s">
        <v>105</v>
      </c>
      <c r="B104" s="88"/>
      <c r="C104" s="88"/>
      <c r="D104" s="88"/>
      <c r="E104" s="88"/>
      <c r="F104" s="88"/>
    </row>
    <row r="105" spans="1:6" ht="15">
      <c r="A105" s="1"/>
      <c r="B105" s="1"/>
      <c r="C105" s="1"/>
      <c r="D105" s="2"/>
      <c r="E105" s="2"/>
      <c r="F105" s="2"/>
    </row>
    <row r="106" spans="1:6" ht="85.5">
      <c r="A106" s="7"/>
      <c r="B106" s="8" t="s">
        <v>1</v>
      </c>
      <c r="C106" s="8" t="s">
        <v>2</v>
      </c>
      <c r="D106" s="8" t="s">
        <v>3</v>
      </c>
      <c r="E106" s="8" t="s">
        <v>4</v>
      </c>
      <c r="F106" s="2"/>
    </row>
    <row r="107" spans="1:5" ht="30" customHeight="1">
      <c r="A107" s="89" t="s">
        <v>123</v>
      </c>
      <c r="B107" s="89"/>
      <c r="C107" s="89"/>
      <c r="D107" s="17">
        <f>D108</f>
        <v>9</v>
      </c>
      <c r="E107" s="17">
        <f>E108</f>
        <v>0.01</v>
      </c>
    </row>
    <row r="108" spans="1:5" ht="30">
      <c r="A108" s="12" t="s">
        <v>5</v>
      </c>
      <c r="B108" s="43" t="s">
        <v>35</v>
      </c>
      <c r="C108" s="43" t="s">
        <v>42</v>
      </c>
      <c r="D108" s="15">
        <f>E108*12*$D$79</f>
        <v>9</v>
      </c>
      <c r="E108" s="44">
        <v>0.01</v>
      </c>
    </row>
    <row r="109" spans="1:5" ht="30" customHeight="1">
      <c r="A109" s="89" t="s">
        <v>102</v>
      </c>
      <c r="B109" s="89"/>
      <c r="C109" s="89"/>
      <c r="D109" s="17">
        <f>D110</f>
        <v>54</v>
      </c>
      <c r="E109" s="17">
        <f>E110</f>
        <v>0.06</v>
      </c>
    </row>
    <row r="110" spans="1:5" ht="15">
      <c r="A110" s="12" t="s">
        <v>34</v>
      </c>
      <c r="B110" s="45" t="s">
        <v>9</v>
      </c>
      <c r="C110" s="7" t="s">
        <v>42</v>
      </c>
      <c r="D110" s="15">
        <f>E110*$D$79*12</f>
        <v>54</v>
      </c>
      <c r="E110" s="16">
        <v>0.06</v>
      </c>
    </row>
    <row r="111" spans="1:6" ht="15">
      <c r="A111" s="8"/>
      <c r="B111" s="24" t="s">
        <v>24</v>
      </c>
      <c r="C111" s="24"/>
      <c r="D111" s="25">
        <f>D107+D109</f>
        <v>63</v>
      </c>
      <c r="E111" s="17">
        <f>E107+E109</f>
        <v>0.06999999999999999</v>
      </c>
      <c r="F111" s="5"/>
    </row>
    <row r="112" spans="1:6" ht="15">
      <c r="A112" s="2"/>
      <c r="B112" s="2"/>
      <c r="C112" s="2"/>
      <c r="D112" s="2"/>
      <c r="E112" s="2"/>
      <c r="F112" s="2"/>
    </row>
    <row r="113" spans="1:6" ht="105">
      <c r="A113" s="10" t="s">
        <v>25</v>
      </c>
      <c r="B113" s="10" t="s">
        <v>26</v>
      </c>
      <c r="C113" s="10" t="s">
        <v>27</v>
      </c>
      <c r="D113" s="10" t="s">
        <v>28</v>
      </c>
      <c r="E113" s="10" t="s">
        <v>36</v>
      </c>
      <c r="F113" s="10" t="s">
        <v>30</v>
      </c>
    </row>
    <row r="114" spans="1:6" ht="15">
      <c r="A114" s="10">
        <v>1</v>
      </c>
      <c r="B114" s="7" t="s">
        <v>110</v>
      </c>
      <c r="C114" s="10" t="s">
        <v>47</v>
      </c>
      <c r="D114" s="10">
        <v>1509</v>
      </c>
      <c r="E114" s="46">
        <f>D114/12/$D$79</f>
        <v>1.6766666666666667</v>
      </c>
      <c r="F114" s="10">
        <v>2</v>
      </c>
    </row>
    <row r="115" spans="1:6" ht="15">
      <c r="A115" s="47"/>
      <c r="B115" s="47" t="s">
        <v>31</v>
      </c>
      <c r="C115" s="47"/>
      <c r="D115" s="48">
        <f>SUM(D114:D114)</f>
        <v>1509</v>
      </c>
      <c r="E115" s="49">
        <f>SUM(E114:E114)</f>
        <v>1.6766666666666667</v>
      </c>
      <c r="F115" s="47"/>
    </row>
    <row r="118" spans="2:3" ht="43.5">
      <c r="B118" s="27" t="s">
        <v>203</v>
      </c>
      <c r="C118" s="58">
        <f>C23+C62+C101+0.3</f>
        <v>10362.520149751843</v>
      </c>
    </row>
  </sheetData>
  <mergeCells count="24">
    <mergeCell ref="A4:E4"/>
    <mergeCell ref="A7:C7"/>
    <mergeCell ref="A10:C10"/>
    <mergeCell ref="A12:C12"/>
    <mergeCell ref="A15:C15"/>
    <mergeCell ref="A26:F26"/>
    <mergeCell ref="A29:C29"/>
    <mergeCell ref="A31:C31"/>
    <mergeCell ref="A42:E42"/>
    <mergeCell ref="A45:C45"/>
    <mergeCell ref="A48:C48"/>
    <mergeCell ref="A50:C50"/>
    <mergeCell ref="A53:C53"/>
    <mergeCell ref="A65:F65"/>
    <mergeCell ref="A68:C68"/>
    <mergeCell ref="A70:C70"/>
    <mergeCell ref="A81:E81"/>
    <mergeCell ref="A84:C84"/>
    <mergeCell ref="A87:C87"/>
    <mergeCell ref="A89:C89"/>
    <mergeCell ref="A92:C92"/>
    <mergeCell ref="A104:F104"/>
    <mergeCell ref="A107:C107"/>
    <mergeCell ref="A109:C109"/>
  </mergeCells>
  <printOptions/>
  <pageMargins left="0.7874015748031497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31">
      <selection activeCell="C40" sqref="C40"/>
    </sheetView>
  </sheetViews>
  <sheetFormatPr defaultColWidth="9.140625" defaultRowHeight="12.75"/>
  <cols>
    <col min="1" max="1" width="3.421875" style="3" customWidth="1"/>
    <col min="2" max="2" width="39.57421875" style="3" customWidth="1"/>
    <col min="3" max="3" width="17.421875" style="3" customWidth="1"/>
    <col min="4" max="4" width="11.28125" style="3" customWidth="1"/>
    <col min="5" max="5" width="12.57421875" style="3" customWidth="1"/>
    <col min="6" max="6" width="8.57421875" style="3" customWidth="1"/>
    <col min="7" max="16384" width="9.140625" style="3" customWidth="1"/>
  </cols>
  <sheetData>
    <row r="1" ht="15">
      <c r="B1" s="56" t="s">
        <v>56</v>
      </c>
    </row>
    <row r="2" spans="1:6" ht="24" customHeight="1">
      <c r="A2" s="2"/>
      <c r="B2" s="1" t="s">
        <v>213</v>
      </c>
      <c r="C2" s="4"/>
      <c r="D2" s="57">
        <v>51</v>
      </c>
      <c r="E2" s="5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40.5" customHeight="1">
      <c r="A4" s="88" t="s">
        <v>104</v>
      </c>
      <c r="B4" s="88"/>
      <c r="C4" s="88"/>
      <c r="D4" s="88"/>
      <c r="E4" s="88"/>
      <c r="F4" s="2"/>
    </row>
    <row r="5" spans="1:6" ht="15">
      <c r="A5" s="1"/>
      <c r="B5" s="1"/>
      <c r="C5" s="1"/>
      <c r="D5" s="1"/>
      <c r="E5" s="1"/>
      <c r="F5" s="2"/>
    </row>
    <row r="6" spans="1:6" ht="85.5">
      <c r="A6" s="7"/>
      <c r="B6" s="8" t="s">
        <v>1</v>
      </c>
      <c r="C6" s="8" t="s">
        <v>2</v>
      </c>
      <c r="D6" s="8" t="s">
        <v>3</v>
      </c>
      <c r="E6" s="8" t="s">
        <v>4</v>
      </c>
      <c r="F6" s="2"/>
    </row>
    <row r="7" spans="1:7" ht="15">
      <c r="A7" s="90" t="s">
        <v>37</v>
      </c>
      <c r="B7" s="91"/>
      <c r="C7" s="92"/>
      <c r="D7" s="17">
        <f>SUM(D8:D9)</f>
        <v>403.71373153996984</v>
      </c>
      <c r="E7" s="17">
        <f>SUM(E8:E9)</f>
        <v>0.6596629600326305</v>
      </c>
      <c r="F7" s="20"/>
      <c r="G7" s="19"/>
    </row>
    <row r="8" spans="1:7" ht="15.75" customHeight="1">
      <c r="A8" s="12">
        <v>1</v>
      </c>
      <c r="B8" s="7" t="s">
        <v>11</v>
      </c>
      <c r="C8" s="14" t="s">
        <v>12</v>
      </c>
      <c r="D8" s="15">
        <f>E8*$D$2*12</f>
        <v>369.36297487645913</v>
      </c>
      <c r="E8" s="55">
        <v>0.6035342726739529</v>
      </c>
      <c r="F8" s="18"/>
      <c r="G8" s="19"/>
    </row>
    <row r="9" spans="1:7" ht="30">
      <c r="A9" s="12">
        <v>2</v>
      </c>
      <c r="B9" s="13" t="s">
        <v>13</v>
      </c>
      <c r="C9" s="13" t="s">
        <v>14</v>
      </c>
      <c r="D9" s="15">
        <f>E9*$D$2*12</f>
        <v>34.35075666351071</v>
      </c>
      <c r="E9" s="55">
        <v>0.056128687358677626</v>
      </c>
      <c r="F9" s="18"/>
      <c r="G9" s="19"/>
    </row>
    <row r="10" spans="1:7" ht="29.25" customHeight="1">
      <c r="A10" s="90" t="s">
        <v>103</v>
      </c>
      <c r="B10" s="93"/>
      <c r="C10" s="94"/>
      <c r="D10" s="22">
        <f>SUM(D11:D11)</f>
        <v>17.493366012269497</v>
      </c>
      <c r="E10" s="22">
        <f>SUM(E11:E11)</f>
        <v>0.028583931392597215</v>
      </c>
      <c r="F10" s="18"/>
      <c r="G10" s="19"/>
    </row>
    <row r="11" spans="1:6" ht="75" customHeight="1">
      <c r="A11" s="12">
        <v>3</v>
      </c>
      <c r="B11" s="13" t="s">
        <v>38</v>
      </c>
      <c r="C11" s="13" t="s">
        <v>7</v>
      </c>
      <c r="D11" s="15">
        <f>E11*12*$D$2</f>
        <v>17.493366012269497</v>
      </c>
      <c r="E11" s="78">
        <v>0.028583931392597215</v>
      </c>
      <c r="F11" s="2"/>
    </row>
    <row r="12" spans="1:9" ht="15">
      <c r="A12" s="95" t="s">
        <v>39</v>
      </c>
      <c r="B12" s="96"/>
      <c r="C12" s="96"/>
      <c r="D12" s="11">
        <f>SUM(D13:D14)</f>
        <v>858.831224042724</v>
      </c>
      <c r="E12" s="11">
        <f>SUM(E13:E14)</f>
        <v>1.4033189935338626</v>
      </c>
      <c r="F12" s="2"/>
      <c r="G12" s="51"/>
      <c r="H12" s="51"/>
      <c r="I12" s="52"/>
    </row>
    <row r="13" spans="1:9" ht="75">
      <c r="A13" s="12">
        <v>4</v>
      </c>
      <c r="B13" s="13" t="s">
        <v>48</v>
      </c>
      <c r="C13" s="13" t="s">
        <v>7</v>
      </c>
      <c r="D13" s="15">
        <f>E13*12*$D$2</f>
        <v>96.25357023718159</v>
      </c>
      <c r="E13" s="15">
        <v>0.1572770755509503</v>
      </c>
      <c r="F13" s="2"/>
      <c r="G13" s="51"/>
      <c r="H13" s="51"/>
      <c r="I13" s="52"/>
    </row>
    <row r="14" spans="1:9" ht="90">
      <c r="A14" s="12">
        <v>5</v>
      </c>
      <c r="B14" s="13" t="s">
        <v>19</v>
      </c>
      <c r="C14" s="13" t="s">
        <v>49</v>
      </c>
      <c r="D14" s="15">
        <f>E14*12*$D$2</f>
        <v>762.5776538055424</v>
      </c>
      <c r="E14" s="21">
        <v>1.2460419179829123</v>
      </c>
      <c r="F14" s="2"/>
      <c r="G14" s="51"/>
      <c r="H14" s="51"/>
      <c r="I14" s="52"/>
    </row>
    <row r="15" spans="1:9" ht="15">
      <c r="A15" s="95" t="s">
        <v>41</v>
      </c>
      <c r="B15" s="95"/>
      <c r="C15" s="95"/>
      <c r="D15" s="23">
        <f>SUM(D16)</f>
        <v>88.54674275928635</v>
      </c>
      <c r="E15" s="22">
        <f>SUM(E16)</f>
        <v>0.14468422019491234</v>
      </c>
      <c r="F15" s="2"/>
      <c r="G15" s="54"/>
      <c r="H15" s="54"/>
      <c r="I15" s="54"/>
    </row>
    <row r="16" spans="1:10" ht="15">
      <c r="A16" s="12">
        <v>6</v>
      </c>
      <c r="B16" s="13" t="s">
        <v>21</v>
      </c>
      <c r="C16" s="13" t="s">
        <v>22</v>
      </c>
      <c r="D16" s="15">
        <f>E16*12*$D$2</f>
        <v>88.54674275928635</v>
      </c>
      <c r="E16" s="53">
        <v>0.14468422019491234</v>
      </c>
      <c r="F16" s="2"/>
      <c r="G16" s="51"/>
      <c r="H16" s="51"/>
      <c r="I16" s="51"/>
      <c r="J16" s="52"/>
    </row>
    <row r="17" spans="1:10" ht="15">
      <c r="A17" s="8"/>
      <c r="B17" s="24" t="s">
        <v>24</v>
      </c>
      <c r="C17" s="24"/>
      <c r="D17" s="25">
        <f>D7+D10+D12+D15</f>
        <v>1368.5850643542497</v>
      </c>
      <c r="E17" s="17">
        <f>E7+E10+E12+E15</f>
        <v>2.2362501051540025</v>
      </c>
      <c r="F17" s="5"/>
      <c r="H17" s="54"/>
      <c r="I17" s="54"/>
      <c r="J17" s="54"/>
    </row>
    <row r="18" spans="1:6" ht="15">
      <c r="A18" s="26"/>
      <c r="B18" s="27"/>
      <c r="C18" s="28"/>
      <c r="D18" s="29"/>
      <c r="E18" s="30"/>
      <c r="F18" s="2"/>
    </row>
    <row r="19" spans="1:6" ht="105">
      <c r="A19" s="10" t="s">
        <v>25</v>
      </c>
      <c r="B19" s="10" t="s">
        <v>26</v>
      </c>
      <c r="C19" s="10" t="s">
        <v>27</v>
      </c>
      <c r="D19" s="10" t="s">
        <v>28</v>
      </c>
      <c r="E19" s="10" t="s">
        <v>29</v>
      </c>
      <c r="F19" s="10" t="s">
        <v>30</v>
      </c>
    </row>
    <row r="20" spans="1:6" ht="15">
      <c r="A20" s="10">
        <v>1</v>
      </c>
      <c r="B20" s="7" t="s">
        <v>110</v>
      </c>
      <c r="C20" s="10" t="s">
        <v>46</v>
      </c>
      <c r="D20" s="10">
        <v>1006</v>
      </c>
      <c r="E20" s="33">
        <f>D20/12/$D$2</f>
        <v>1.6437908496732025</v>
      </c>
      <c r="F20" s="34">
        <v>2</v>
      </c>
    </row>
    <row r="21" spans="1:6" ht="15">
      <c r="A21" s="10"/>
      <c r="B21" s="36" t="s">
        <v>31</v>
      </c>
      <c r="C21" s="9"/>
      <c r="D21" s="37">
        <f>SUM(D20:D20)</f>
        <v>1006</v>
      </c>
      <c r="E21" s="38">
        <f>SUM(E20:E20)</f>
        <v>1.6437908496732025</v>
      </c>
      <c r="F21" s="39"/>
    </row>
    <row r="22" spans="1:6" ht="15">
      <c r="A22" s="26"/>
      <c r="B22" s="27"/>
      <c r="C22" s="40"/>
      <c r="D22" s="40"/>
      <c r="E22" s="40"/>
      <c r="F22" s="40"/>
    </row>
    <row r="23" spans="1:6" ht="43.5">
      <c r="A23" s="26"/>
      <c r="B23" s="27" t="s">
        <v>32</v>
      </c>
      <c r="C23" s="41">
        <f>D17+D21</f>
        <v>2374.58506435425</v>
      </c>
      <c r="D23" s="41"/>
      <c r="E23" s="41"/>
      <c r="F23" s="40"/>
    </row>
    <row r="24" spans="1:6" ht="15">
      <c r="A24" s="26"/>
      <c r="B24" s="27" t="s">
        <v>33</v>
      </c>
      <c r="C24" s="42">
        <f>E17+E21</f>
        <v>3.880040954827205</v>
      </c>
      <c r="D24" s="40"/>
      <c r="E24" s="40"/>
      <c r="F24" s="40"/>
    </row>
    <row r="25" spans="1:6" ht="15">
      <c r="A25" s="26"/>
      <c r="B25" s="27"/>
      <c r="C25" s="42"/>
      <c r="D25" s="40"/>
      <c r="E25" s="40"/>
      <c r="F25" s="40"/>
    </row>
    <row r="26" spans="1:6" ht="33" customHeight="1">
      <c r="A26" s="88" t="s">
        <v>105</v>
      </c>
      <c r="B26" s="88"/>
      <c r="C26" s="88"/>
      <c r="D26" s="88"/>
      <c r="E26" s="88"/>
      <c r="F26" s="88"/>
    </row>
    <row r="27" spans="1:6" ht="15">
      <c r="A27" s="1"/>
      <c r="B27" s="1"/>
      <c r="C27" s="1"/>
      <c r="D27" s="2"/>
      <c r="E27" s="2"/>
      <c r="F27" s="2"/>
    </row>
    <row r="28" spans="1:6" ht="85.5">
      <c r="A28" s="7"/>
      <c r="B28" s="8" t="s">
        <v>1</v>
      </c>
      <c r="C28" s="8" t="s">
        <v>2</v>
      </c>
      <c r="D28" s="8" t="s">
        <v>3</v>
      </c>
      <c r="E28" s="8" t="s">
        <v>4</v>
      </c>
      <c r="F28" s="2"/>
    </row>
    <row r="29" spans="1:5" ht="30" customHeight="1">
      <c r="A29" s="89" t="s">
        <v>123</v>
      </c>
      <c r="B29" s="89"/>
      <c r="C29" s="89"/>
      <c r="D29" s="17">
        <f>D30</f>
        <v>6.12</v>
      </c>
      <c r="E29" s="17">
        <f>E30</f>
        <v>0.01</v>
      </c>
    </row>
    <row r="30" spans="1:5" ht="30">
      <c r="A30" s="12" t="s">
        <v>5</v>
      </c>
      <c r="B30" s="43" t="s">
        <v>35</v>
      </c>
      <c r="C30" s="43" t="s">
        <v>42</v>
      </c>
      <c r="D30" s="15">
        <f>E30*12*$D$2</f>
        <v>6.12</v>
      </c>
      <c r="E30" s="44">
        <v>0.01</v>
      </c>
    </row>
    <row r="31" spans="1:5" ht="30" customHeight="1">
      <c r="A31" s="89" t="s">
        <v>102</v>
      </c>
      <c r="B31" s="89"/>
      <c r="C31" s="89"/>
      <c r="D31" s="17">
        <f>D32</f>
        <v>36.72</v>
      </c>
      <c r="E31" s="17">
        <f>E32</f>
        <v>0.06</v>
      </c>
    </row>
    <row r="32" spans="1:5" ht="15">
      <c r="A32" s="12" t="s">
        <v>34</v>
      </c>
      <c r="B32" s="45" t="s">
        <v>9</v>
      </c>
      <c r="C32" s="7" t="s">
        <v>42</v>
      </c>
      <c r="D32" s="15">
        <f>E32*$D$2*12</f>
        <v>36.72</v>
      </c>
      <c r="E32" s="16">
        <v>0.06</v>
      </c>
    </row>
    <row r="33" spans="1:6" ht="15">
      <c r="A33" s="8"/>
      <c r="B33" s="24" t="s">
        <v>24</v>
      </c>
      <c r="C33" s="24"/>
      <c r="D33" s="25">
        <f>D29+D31</f>
        <v>42.839999999999996</v>
      </c>
      <c r="E33" s="17">
        <f>E29+E31</f>
        <v>0.06999999999999999</v>
      </c>
      <c r="F33" s="5"/>
    </row>
    <row r="34" spans="1:6" ht="15">
      <c r="A34" s="2"/>
      <c r="B34" s="2"/>
      <c r="C34" s="2"/>
      <c r="D34" s="2"/>
      <c r="E34" s="2"/>
      <c r="F34" s="2"/>
    </row>
    <row r="35" spans="1:6" ht="105">
      <c r="A35" s="10" t="s">
        <v>25</v>
      </c>
      <c r="B35" s="10" t="s">
        <v>26</v>
      </c>
      <c r="C35" s="10" t="s">
        <v>27</v>
      </c>
      <c r="D35" s="10" t="s">
        <v>28</v>
      </c>
      <c r="E35" s="10" t="s">
        <v>36</v>
      </c>
      <c r="F35" s="10" t="s">
        <v>30</v>
      </c>
    </row>
    <row r="36" spans="1:6" ht="15">
      <c r="A36" s="10">
        <v>1</v>
      </c>
      <c r="B36" s="7" t="s">
        <v>110</v>
      </c>
      <c r="C36" s="10" t="s">
        <v>46</v>
      </c>
      <c r="D36" s="10">
        <v>1006</v>
      </c>
      <c r="E36" s="46">
        <f>D36/12/$D$2</f>
        <v>1.6437908496732025</v>
      </c>
      <c r="F36" s="10">
        <v>2</v>
      </c>
    </row>
    <row r="37" spans="1:6" ht="15">
      <c r="A37" s="47"/>
      <c r="B37" s="47" t="s">
        <v>31</v>
      </c>
      <c r="C37" s="47"/>
      <c r="D37" s="48">
        <f>SUM(D36:D36)</f>
        <v>1006</v>
      </c>
      <c r="E37" s="49">
        <f>SUM(E36:E36)</f>
        <v>1.6437908496732025</v>
      </c>
      <c r="F37" s="47"/>
    </row>
    <row r="38" spans="1:6" ht="15">
      <c r="A38" s="85"/>
      <c r="B38" s="85"/>
      <c r="C38" s="85"/>
      <c r="D38" s="86"/>
      <c r="E38" s="87"/>
      <c r="F38" s="85"/>
    </row>
    <row r="39" spans="1:6" ht="15">
      <c r="A39" s="85"/>
      <c r="B39" s="85"/>
      <c r="C39" s="85"/>
      <c r="D39" s="86"/>
      <c r="E39" s="87"/>
      <c r="F39" s="85"/>
    </row>
    <row r="40" spans="2:3" ht="43.5">
      <c r="B40" s="27" t="s">
        <v>76</v>
      </c>
      <c r="C40" s="58">
        <f>C23</f>
        <v>2374.58506435425</v>
      </c>
    </row>
  </sheetData>
  <mergeCells count="8">
    <mergeCell ref="A4:E4"/>
    <mergeCell ref="A7:C7"/>
    <mergeCell ref="A10:C10"/>
    <mergeCell ref="A12:C12"/>
    <mergeCell ref="A15:C15"/>
    <mergeCell ref="A26:F26"/>
    <mergeCell ref="A29:C29"/>
    <mergeCell ref="A31:C31"/>
  </mergeCells>
  <printOptions/>
  <pageMargins left="0.7874015748031497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E8" sqref="E8"/>
    </sheetView>
  </sheetViews>
  <sheetFormatPr defaultColWidth="9.140625" defaultRowHeight="12.75"/>
  <cols>
    <col min="1" max="1" width="3.421875" style="3" customWidth="1"/>
    <col min="2" max="2" width="40.8515625" style="3" customWidth="1"/>
    <col min="3" max="3" width="17.421875" style="3" customWidth="1"/>
    <col min="4" max="4" width="11.28125" style="3" customWidth="1"/>
    <col min="5" max="5" width="11.8515625" style="3" customWidth="1"/>
    <col min="6" max="6" width="8.57421875" style="3" customWidth="1"/>
    <col min="7" max="16384" width="9.140625" style="3" customWidth="1"/>
  </cols>
  <sheetData>
    <row r="1" ht="15">
      <c r="B1" s="56" t="s">
        <v>107</v>
      </c>
    </row>
    <row r="2" spans="1:6" ht="24" customHeight="1">
      <c r="A2" s="2"/>
      <c r="B2" s="1" t="s">
        <v>196</v>
      </c>
      <c r="C2" s="4"/>
      <c r="D2" s="57">
        <v>43</v>
      </c>
      <c r="E2" s="5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40.5" customHeight="1">
      <c r="A4" s="88" t="s">
        <v>109</v>
      </c>
      <c r="B4" s="88"/>
      <c r="C4" s="88"/>
      <c r="D4" s="88"/>
      <c r="E4" s="88"/>
      <c r="F4" s="2"/>
    </row>
    <row r="5" spans="1:6" ht="15">
      <c r="A5" s="1"/>
      <c r="B5" s="1"/>
      <c r="C5" s="1"/>
      <c r="D5" s="1"/>
      <c r="E5" s="1"/>
      <c r="F5" s="2"/>
    </row>
    <row r="6" spans="1:6" ht="85.5">
      <c r="A6" s="7"/>
      <c r="B6" s="8" t="s">
        <v>1</v>
      </c>
      <c r="C6" s="8" t="s">
        <v>2</v>
      </c>
      <c r="D6" s="8" t="s">
        <v>3</v>
      </c>
      <c r="E6" s="8" t="s">
        <v>4</v>
      </c>
      <c r="F6" s="2"/>
    </row>
    <row r="7" spans="1:7" ht="15">
      <c r="A7" s="90" t="s">
        <v>37</v>
      </c>
      <c r="B7" s="91"/>
      <c r="C7" s="92"/>
      <c r="D7" s="17">
        <f>SUM(D8:D9)</f>
        <v>269.14248769331346</v>
      </c>
      <c r="E7" s="17">
        <f>SUM(E8:E9)</f>
        <v>0.5215939683978943</v>
      </c>
      <c r="F7" s="20"/>
      <c r="G7" s="19"/>
    </row>
    <row r="8" spans="1:7" ht="15.75" customHeight="1">
      <c r="A8" s="12">
        <v>1</v>
      </c>
      <c r="B8" s="7" t="s">
        <v>11</v>
      </c>
      <c r="C8" s="14" t="s">
        <v>12</v>
      </c>
      <c r="D8" s="15">
        <f>E8*$D$2*12</f>
        <v>246.24198325097302</v>
      </c>
      <c r="E8" s="21">
        <v>0.477213145835219</v>
      </c>
      <c r="F8" s="18"/>
      <c r="G8" s="19"/>
    </row>
    <row r="9" spans="1:7" ht="30">
      <c r="A9" s="12">
        <v>2</v>
      </c>
      <c r="B9" s="13" t="s">
        <v>13</v>
      </c>
      <c r="C9" s="13" t="s">
        <v>14</v>
      </c>
      <c r="D9" s="15">
        <f>E9*$D$2*12</f>
        <v>22.900504442340456</v>
      </c>
      <c r="E9" s="21">
        <v>0.0443808225626753</v>
      </c>
      <c r="F9" s="18"/>
      <c r="G9" s="19"/>
    </row>
    <row r="10" spans="1:7" ht="29.25" customHeight="1">
      <c r="A10" s="90" t="s">
        <v>103</v>
      </c>
      <c r="B10" s="93"/>
      <c r="C10" s="94"/>
      <c r="D10" s="22">
        <f>SUM(D11:D11)</f>
        <v>17.493366012269522</v>
      </c>
      <c r="E10" s="22">
        <f>SUM(E11:E11)</f>
        <v>0.0339018721168014</v>
      </c>
      <c r="F10" s="18"/>
      <c r="G10" s="19"/>
    </row>
    <row r="11" spans="1:6" ht="75" customHeight="1">
      <c r="A11" s="12">
        <v>3</v>
      </c>
      <c r="B11" s="13" t="s">
        <v>38</v>
      </c>
      <c r="C11" s="13" t="s">
        <v>7</v>
      </c>
      <c r="D11" s="15">
        <f>E11*12*$D$2</f>
        <v>17.493366012269522</v>
      </c>
      <c r="E11" s="15">
        <v>0.0339018721168014</v>
      </c>
      <c r="F11" s="2"/>
    </row>
    <row r="12" spans="1:9" ht="15">
      <c r="A12" s="95" t="s">
        <v>39</v>
      </c>
      <c r="B12" s="96"/>
      <c r="C12" s="96"/>
      <c r="D12" s="11">
        <f>SUM(D13:D14)</f>
        <v>619.792329998826</v>
      </c>
      <c r="E12" s="11">
        <f>SUM(E13:E14)</f>
        <v>1.2011479263543139</v>
      </c>
      <c r="F12" s="2"/>
      <c r="G12" s="51"/>
      <c r="H12" s="51"/>
      <c r="I12" s="52"/>
    </row>
    <row r="13" spans="1:9" ht="61.5" customHeight="1">
      <c r="A13" s="12">
        <v>4</v>
      </c>
      <c r="B13" s="13" t="s">
        <v>43</v>
      </c>
      <c r="C13" s="13" t="s">
        <v>7</v>
      </c>
      <c r="D13" s="15">
        <f>E13*12*$D$2</f>
        <v>93.32821663193387</v>
      </c>
      <c r="E13" s="15">
        <f>0.0836268703481988+0.097241766535394</f>
        <v>0.18086863688359278</v>
      </c>
      <c r="F13" s="2"/>
      <c r="G13" s="51"/>
      <c r="H13" s="51"/>
      <c r="I13" s="52"/>
    </row>
    <row r="14" spans="1:9" ht="75">
      <c r="A14" s="12">
        <v>5</v>
      </c>
      <c r="B14" s="13" t="s">
        <v>19</v>
      </c>
      <c r="C14" s="13" t="s">
        <v>40</v>
      </c>
      <c r="D14" s="15">
        <f>E14*12*$D$2</f>
        <v>526.4641133668921</v>
      </c>
      <c r="E14" s="21">
        <f>0.907756174870721+0.1125231146</f>
        <v>1.020279289470721</v>
      </c>
      <c r="F14" s="2"/>
      <c r="G14" s="54"/>
      <c r="H14" s="54"/>
      <c r="I14" s="54"/>
    </row>
    <row r="15" spans="1:9" ht="15">
      <c r="A15" s="95" t="s">
        <v>41</v>
      </c>
      <c r="B15" s="95"/>
      <c r="C15" s="95"/>
      <c r="D15" s="23">
        <f>SUM(D16)</f>
        <v>84.00419514706394</v>
      </c>
      <c r="E15" s="22">
        <f>SUM(E16)</f>
        <v>0.16279882780438748</v>
      </c>
      <c r="F15" s="2"/>
      <c r="G15" s="54"/>
      <c r="H15" s="54"/>
      <c r="I15" s="54"/>
    </row>
    <row r="16" spans="1:6" ht="15">
      <c r="A16" s="12">
        <v>6</v>
      </c>
      <c r="B16" s="13" t="s">
        <v>21</v>
      </c>
      <c r="C16" s="13" t="s">
        <v>22</v>
      </c>
      <c r="D16" s="15">
        <f>E16*12*$D$2</f>
        <v>84.00419514706394</v>
      </c>
      <c r="E16" s="21">
        <f>0.0211709208276435+0.141627906976744</f>
        <v>0.16279882780438748</v>
      </c>
      <c r="F16" s="2"/>
    </row>
    <row r="17" spans="1:6" ht="15">
      <c r="A17" s="8"/>
      <c r="B17" s="24" t="s">
        <v>24</v>
      </c>
      <c r="C17" s="24"/>
      <c r="D17" s="25">
        <f>D7+D10+D12+D15</f>
        <v>990.4323788514728</v>
      </c>
      <c r="E17" s="17">
        <f>E7+E10+E12+E15</f>
        <v>1.919442594673397</v>
      </c>
      <c r="F17" s="5"/>
    </row>
    <row r="18" spans="1:6" ht="15">
      <c r="A18" s="26"/>
      <c r="B18" s="27"/>
      <c r="C18" s="28"/>
      <c r="D18" s="29"/>
      <c r="E18" s="30"/>
      <c r="F18" s="2"/>
    </row>
    <row r="19" spans="1:6" ht="105">
      <c r="A19" s="10" t="s">
        <v>25</v>
      </c>
      <c r="B19" s="10" t="s">
        <v>26</v>
      </c>
      <c r="C19" s="10" t="s">
        <v>27</v>
      </c>
      <c r="D19" s="10" t="s">
        <v>28</v>
      </c>
      <c r="E19" s="10" t="s">
        <v>29</v>
      </c>
      <c r="F19" s="10" t="s">
        <v>30</v>
      </c>
    </row>
    <row r="20" spans="1:6" ht="15">
      <c r="A20" s="10">
        <v>1</v>
      </c>
      <c r="B20" s="7" t="s">
        <v>110</v>
      </c>
      <c r="C20" s="10" t="s">
        <v>46</v>
      </c>
      <c r="D20" s="10">
        <v>1006</v>
      </c>
      <c r="E20" s="33">
        <f>D20/12/$D$2</f>
        <v>1.949612403100775</v>
      </c>
      <c r="F20" s="34">
        <v>2</v>
      </c>
    </row>
    <row r="21" spans="1:6" ht="15">
      <c r="A21" s="10"/>
      <c r="B21" s="36" t="s">
        <v>31</v>
      </c>
      <c r="C21" s="9"/>
      <c r="D21" s="37">
        <f>SUM(D20:D20)</f>
        <v>1006</v>
      </c>
      <c r="E21" s="38">
        <f>SUM(E20:E20)</f>
        <v>1.949612403100775</v>
      </c>
      <c r="F21" s="39"/>
    </row>
    <row r="22" spans="1:6" ht="15">
      <c r="A22" s="26"/>
      <c r="B22" s="27"/>
      <c r="C22" s="40"/>
      <c r="D22" s="40"/>
      <c r="E22" s="40"/>
      <c r="F22" s="40"/>
    </row>
    <row r="23" spans="1:6" ht="29.25">
      <c r="A23" s="26"/>
      <c r="B23" s="27" t="s">
        <v>32</v>
      </c>
      <c r="C23" s="41">
        <f>D17+D21</f>
        <v>1996.4323788514728</v>
      </c>
      <c r="D23" s="41"/>
      <c r="E23" s="41"/>
      <c r="F23" s="40"/>
    </row>
    <row r="24" spans="1:6" ht="15">
      <c r="A24" s="26"/>
      <c r="B24" s="27" t="s">
        <v>33</v>
      </c>
      <c r="C24" s="42">
        <f>E17+E21</f>
        <v>3.869054997774172</v>
      </c>
      <c r="D24" s="40"/>
      <c r="E24" s="40"/>
      <c r="F24" s="40"/>
    </row>
    <row r="25" spans="1:6" ht="3" customHeight="1">
      <c r="A25" s="26"/>
      <c r="B25" s="27"/>
      <c r="C25" s="42"/>
      <c r="D25" s="40"/>
      <c r="E25" s="40"/>
      <c r="F25" s="40"/>
    </row>
    <row r="26" spans="1:6" ht="30" customHeight="1">
      <c r="A26" s="88" t="s">
        <v>111</v>
      </c>
      <c r="B26" s="88"/>
      <c r="C26" s="88"/>
      <c r="D26" s="88"/>
      <c r="E26" s="88"/>
      <c r="F26" s="88"/>
    </row>
    <row r="27" spans="1:6" ht="6" customHeight="1">
      <c r="A27" s="1"/>
      <c r="B27" s="1"/>
      <c r="C27" s="1"/>
      <c r="D27" s="2"/>
      <c r="E27" s="2"/>
      <c r="F27" s="2"/>
    </row>
    <row r="28" spans="1:6" ht="85.5">
      <c r="A28" s="7"/>
      <c r="B28" s="8" t="s">
        <v>1</v>
      </c>
      <c r="C28" s="8" t="s">
        <v>2</v>
      </c>
      <c r="D28" s="8" t="s">
        <v>3</v>
      </c>
      <c r="E28" s="8" t="s">
        <v>4</v>
      </c>
      <c r="F28" s="2"/>
    </row>
    <row r="29" spans="1:5" ht="30" customHeight="1">
      <c r="A29" s="97" t="s">
        <v>123</v>
      </c>
      <c r="B29" s="98"/>
      <c r="C29" s="99"/>
      <c r="D29" s="17">
        <f>D30</f>
        <v>5.16</v>
      </c>
      <c r="E29" s="17">
        <f>E30</f>
        <v>0.01</v>
      </c>
    </row>
    <row r="30" spans="1:5" ht="30">
      <c r="A30" s="12" t="s">
        <v>5</v>
      </c>
      <c r="B30" s="43" t="s">
        <v>35</v>
      </c>
      <c r="C30" s="43" t="s">
        <v>42</v>
      </c>
      <c r="D30" s="15">
        <f>E30*12*$D$2</f>
        <v>5.16</v>
      </c>
      <c r="E30" s="44">
        <v>0.01</v>
      </c>
    </row>
    <row r="31" spans="1:5" ht="30" customHeight="1">
      <c r="A31" s="89" t="s">
        <v>102</v>
      </c>
      <c r="B31" s="89"/>
      <c r="C31" s="89"/>
      <c r="D31" s="17">
        <f>D32</f>
        <v>30.96</v>
      </c>
      <c r="E31" s="17">
        <f>E32</f>
        <v>0.06</v>
      </c>
    </row>
    <row r="32" spans="1:5" ht="15">
      <c r="A32" s="12" t="s">
        <v>34</v>
      </c>
      <c r="B32" s="45" t="s">
        <v>9</v>
      </c>
      <c r="C32" s="7" t="s">
        <v>42</v>
      </c>
      <c r="D32" s="15">
        <f>E32*$D$2*12</f>
        <v>30.96</v>
      </c>
      <c r="E32" s="16">
        <v>0.06</v>
      </c>
    </row>
    <row r="33" spans="1:6" ht="15">
      <c r="A33" s="8"/>
      <c r="B33" s="24" t="s">
        <v>24</v>
      </c>
      <c r="C33" s="24"/>
      <c r="D33" s="25">
        <f>D29+D31</f>
        <v>36.120000000000005</v>
      </c>
      <c r="E33" s="17">
        <f>E29+E31</f>
        <v>0.06999999999999999</v>
      </c>
      <c r="F33" s="5"/>
    </row>
    <row r="34" spans="1:6" ht="5.25" customHeight="1">
      <c r="A34" s="2"/>
      <c r="B34" s="2"/>
      <c r="C34" s="2"/>
      <c r="D34" s="2"/>
      <c r="E34" s="2"/>
      <c r="F34" s="2"/>
    </row>
    <row r="35" spans="1:6" ht="4.5" customHeight="1">
      <c r="A35" s="31"/>
      <c r="B35" s="31"/>
      <c r="C35" s="31"/>
      <c r="D35" s="31"/>
      <c r="E35" s="31"/>
      <c r="F35" s="32"/>
    </row>
    <row r="36" spans="1:6" ht="105">
      <c r="A36" s="10" t="s">
        <v>25</v>
      </c>
      <c r="B36" s="10" t="s">
        <v>26</v>
      </c>
      <c r="C36" s="10" t="s">
        <v>27</v>
      </c>
      <c r="D36" s="10" t="s">
        <v>28</v>
      </c>
      <c r="E36" s="10" t="s">
        <v>36</v>
      </c>
      <c r="F36" s="10" t="s">
        <v>30</v>
      </c>
    </row>
    <row r="37" spans="1:6" ht="15">
      <c r="A37" s="10">
        <v>1</v>
      </c>
      <c r="B37" s="7" t="s">
        <v>110</v>
      </c>
      <c r="C37" s="10" t="s">
        <v>46</v>
      </c>
      <c r="D37" s="10">
        <v>1006</v>
      </c>
      <c r="E37" s="46">
        <f>D37/12/$D$2</f>
        <v>1.949612403100775</v>
      </c>
      <c r="F37" s="34">
        <v>2</v>
      </c>
    </row>
    <row r="38" spans="1:6" ht="15">
      <c r="A38" s="47"/>
      <c r="B38" s="47" t="s">
        <v>31</v>
      </c>
      <c r="C38" s="47"/>
      <c r="D38" s="48">
        <f>SUM(D37:D37)</f>
        <v>1006</v>
      </c>
      <c r="E38" s="49">
        <f>SUM(E37:E37)</f>
        <v>1.949612403100775</v>
      </c>
      <c r="F38" s="47"/>
    </row>
    <row r="41" spans="2:3" ht="43.5">
      <c r="B41" s="27" t="s">
        <v>80</v>
      </c>
      <c r="C41" s="58">
        <f>C23</f>
        <v>1996.4323788514728</v>
      </c>
    </row>
  </sheetData>
  <mergeCells count="8">
    <mergeCell ref="A4:E4"/>
    <mergeCell ref="A7:C7"/>
    <mergeCell ref="A10:C10"/>
    <mergeCell ref="A12:C12"/>
    <mergeCell ref="A31:C31"/>
    <mergeCell ref="A15:C15"/>
    <mergeCell ref="A26:F26"/>
    <mergeCell ref="A29:C29"/>
  </mergeCells>
  <printOptions/>
  <pageMargins left="0.7874015748031497" right="0.2362204724409449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H6" sqref="H6"/>
    </sheetView>
  </sheetViews>
  <sheetFormatPr defaultColWidth="9.140625" defaultRowHeight="12.75"/>
  <cols>
    <col min="1" max="1" width="3.421875" style="3" customWidth="1"/>
    <col min="2" max="2" width="40.8515625" style="3" customWidth="1"/>
    <col min="3" max="3" width="17.421875" style="3" customWidth="1"/>
    <col min="4" max="4" width="11.28125" style="3" customWidth="1"/>
    <col min="5" max="5" width="11.8515625" style="3" customWidth="1"/>
    <col min="6" max="6" width="8.57421875" style="3" customWidth="1"/>
    <col min="7" max="16384" width="9.140625" style="3" customWidth="1"/>
  </cols>
  <sheetData>
    <row r="1" ht="15">
      <c r="B1" s="56" t="s">
        <v>57</v>
      </c>
    </row>
    <row r="2" spans="1:6" ht="24" customHeight="1">
      <c r="A2" s="2"/>
      <c r="B2" s="1" t="s">
        <v>195</v>
      </c>
      <c r="C2" s="4"/>
      <c r="D2" s="57">
        <v>74</v>
      </c>
      <c r="E2" s="5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28.5" customHeight="1">
      <c r="A4" s="88" t="s">
        <v>109</v>
      </c>
      <c r="B4" s="88"/>
      <c r="C4" s="88"/>
      <c r="D4" s="88"/>
      <c r="E4" s="88"/>
      <c r="F4" s="2"/>
    </row>
    <row r="5" spans="1:6" ht="15">
      <c r="A5" s="1"/>
      <c r="B5" s="1"/>
      <c r="C5" s="1"/>
      <c r="D5" s="1"/>
      <c r="E5" s="1"/>
      <c r="F5" s="2"/>
    </row>
    <row r="6" spans="1:6" ht="85.5">
      <c r="A6" s="7"/>
      <c r="B6" s="8" t="s">
        <v>1</v>
      </c>
      <c r="C6" s="8" t="s">
        <v>2</v>
      </c>
      <c r="D6" s="8" t="s">
        <v>3</v>
      </c>
      <c r="E6" s="8" t="s">
        <v>4</v>
      </c>
      <c r="F6" s="2"/>
    </row>
    <row r="7" spans="1:7" ht="15">
      <c r="A7" s="90" t="s">
        <v>37</v>
      </c>
      <c r="B7" s="91"/>
      <c r="C7" s="92"/>
      <c r="D7" s="17">
        <f>SUM(D8:D9)</f>
        <v>538.2849753866266</v>
      </c>
      <c r="E7" s="17">
        <f>SUM(E8:E9)</f>
        <v>0.6061767740840389</v>
      </c>
      <c r="F7" s="20"/>
      <c r="G7" s="19"/>
    </row>
    <row r="8" spans="1:7" ht="15.75" customHeight="1">
      <c r="A8" s="12">
        <v>1</v>
      </c>
      <c r="B8" s="7" t="s">
        <v>11</v>
      </c>
      <c r="C8" s="14" t="s">
        <v>12</v>
      </c>
      <c r="D8" s="15">
        <f>E8*$D$2*12</f>
        <v>492.4839665019457</v>
      </c>
      <c r="E8" s="21">
        <v>0.554599061376065</v>
      </c>
      <c r="F8" s="18"/>
      <c r="G8" s="19"/>
    </row>
    <row r="9" spans="1:7" ht="30">
      <c r="A9" s="12">
        <v>2</v>
      </c>
      <c r="B9" s="13" t="s">
        <v>13</v>
      </c>
      <c r="C9" s="13" t="s">
        <v>14</v>
      </c>
      <c r="D9" s="15">
        <f>E9*$D$2*12</f>
        <v>45.80100888468091</v>
      </c>
      <c r="E9" s="21">
        <v>0.051577712707974</v>
      </c>
      <c r="F9" s="18"/>
      <c r="G9" s="19"/>
    </row>
    <row r="10" spans="1:7" ht="29.25" customHeight="1">
      <c r="A10" s="90" t="s">
        <v>103</v>
      </c>
      <c r="B10" s="93"/>
      <c r="C10" s="94"/>
      <c r="D10" s="22">
        <f>SUM(D11:D11)</f>
        <v>17.493366012269504</v>
      </c>
      <c r="E10" s="22">
        <f>SUM(E11:E11)</f>
        <v>0.0196997365003035</v>
      </c>
      <c r="F10" s="18"/>
      <c r="G10" s="19"/>
    </row>
    <row r="11" spans="1:6" ht="75" customHeight="1">
      <c r="A11" s="12">
        <v>3</v>
      </c>
      <c r="B11" s="13" t="s">
        <v>38</v>
      </c>
      <c r="C11" s="13" t="s">
        <v>7</v>
      </c>
      <c r="D11" s="15">
        <f>E11*12*$D$2</f>
        <v>17.493366012269504</v>
      </c>
      <c r="E11" s="15">
        <v>0.0196997365003035</v>
      </c>
      <c r="F11" s="2"/>
    </row>
    <row r="12" spans="1:9" ht="15">
      <c r="A12" s="95" t="s">
        <v>39</v>
      </c>
      <c r="B12" s="96"/>
      <c r="C12" s="96"/>
      <c r="D12" s="11">
        <f>SUM(D13:D14)</f>
        <v>1253.3682256225338</v>
      </c>
      <c r="E12" s="11">
        <f>SUM(E13:E14)</f>
        <v>1.4114507045298803</v>
      </c>
      <c r="F12" s="2"/>
      <c r="G12" s="51"/>
      <c r="H12" s="51"/>
      <c r="I12" s="52"/>
    </row>
    <row r="13" spans="1:9" ht="75">
      <c r="A13" s="12">
        <v>4</v>
      </c>
      <c r="B13" s="64" t="s">
        <v>48</v>
      </c>
      <c r="C13" s="64" t="s">
        <v>7</v>
      </c>
      <c r="D13" s="15">
        <f>E13*12*$D$2</f>
        <v>139.66204308924387</v>
      </c>
      <c r="E13" s="15">
        <f>0.0727190176940859+0.0845580578568644</f>
        <v>0.1572770755509503</v>
      </c>
      <c r="F13" s="2"/>
      <c r="G13" s="51"/>
      <c r="H13" s="51"/>
      <c r="I13" s="52"/>
    </row>
    <row r="14" spans="1:9" ht="90">
      <c r="A14" s="12">
        <v>5</v>
      </c>
      <c r="B14" s="64" t="s">
        <v>19</v>
      </c>
      <c r="C14" s="64" t="s">
        <v>50</v>
      </c>
      <c r="D14" s="15">
        <f>E14*12*$D$2</f>
        <v>1113.7061825332898</v>
      </c>
      <c r="E14" s="21">
        <f>1.14165051437893+0.1125231146</f>
        <v>1.25417362897893</v>
      </c>
      <c r="F14" s="2"/>
      <c r="G14" s="54"/>
      <c r="H14" s="54"/>
      <c r="I14" s="54"/>
    </row>
    <row r="15" spans="1:9" ht="15">
      <c r="A15" s="95" t="s">
        <v>41</v>
      </c>
      <c r="B15" s="95"/>
      <c r="C15" s="95"/>
      <c r="D15" s="23">
        <f>SUM(D16)</f>
        <v>94.75662958450457</v>
      </c>
      <c r="E15" s="22">
        <f>SUM(E16)</f>
        <v>0.1067079161987664</v>
      </c>
      <c r="F15" s="2"/>
      <c r="G15" s="54"/>
      <c r="H15" s="54"/>
      <c r="I15" s="54"/>
    </row>
    <row r="16" spans="1:6" ht="15">
      <c r="A16" s="12">
        <v>6</v>
      </c>
      <c r="B16" s="13" t="s">
        <v>21</v>
      </c>
      <c r="C16" s="13" t="s">
        <v>22</v>
      </c>
      <c r="D16" s="15">
        <f>E16*12*$D$2</f>
        <v>94.75662958450457</v>
      </c>
      <c r="E16" s="21">
        <f>0.0244106189014691+0.0822972972972973</f>
        <v>0.1067079161987664</v>
      </c>
      <c r="F16" s="2"/>
    </row>
    <row r="17" spans="1:6" ht="15">
      <c r="A17" s="8"/>
      <c r="B17" s="24" t="s">
        <v>24</v>
      </c>
      <c r="C17" s="24"/>
      <c r="D17" s="25">
        <f>D7+D10+D12+D15</f>
        <v>1903.9031966059342</v>
      </c>
      <c r="E17" s="17">
        <f>E7+E10+E12+E15</f>
        <v>2.144035131312989</v>
      </c>
      <c r="F17" s="5"/>
    </row>
    <row r="18" spans="1:6" ht="8.25" customHeight="1">
      <c r="A18" s="26"/>
      <c r="B18" s="27"/>
      <c r="C18" s="28"/>
      <c r="D18" s="29"/>
      <c r="E18" s="30"/>
      <c r="F18" s="2"/>
    </row>
    <row r="19" spans="1:6" ht="105">
      <c r="A19" s="10" t="s">
        <v>25</v>
      </c>
      <c r="B19" s="10" t="s">
        <v>26</v>
      </c>
      <c r="C19" s="10" t="s">
        <v>27</v>
      </c>
      <c r="D19" s="10" t="s">
        <v>28</v>
      </c>
      <c r="E19" s="10" t="s">
        <v>29</v>
      </c>
      <c r="F19" s="10" t="s">
        <v>30</v>
      </c>
    </row>
    <row r="20" spans="1:6" ht="15">
      <c r="A20" s="10">
        <v>1</v>
      </c>
      <c r="B20" s="7" t="s">
        <v>110</v>
      </c>
      <c r="C20" s="10" t="s">
        <v>47</v>
      </c>
      <c r="D20" s="10">
        <v>1509</v>
      </c>
      <c r="E20" s="33">
        <f>D20/12/$D$2</f>
        <v>1.6993243243243243</v>
      </c>
      <c r="F20" s="34">
        <v>2</v>
      </c>
    </row>
    <row r="21" spans="1:6" ht="15">
      <c r="A21" s="10"/>
      <c r="B21" s="36" t="s">
        <v>31</v>
      </c>
      <c r="C21" s="9"/>
      <c r="D21" s="37">
        <f>SUM(D20:D20)</f>
        <v>1509</v>
      </c>
      <c r="E21" s="38">
        <f>SUM(E20:E20)</f>
        <v>1.6993243243243243</v>
      </c>
      <c r="F21" s="39"/>
    </row>
    <row r="22" spans="1:6" ht="15">
      <c r="A22" s="26"/>
      <c r="B22" s="27"/>
      <c r="C22" s="40"/>
      <c r="D22" s="40"/>
      <c r="E22" s="40"/>
      <c r="F22" s="40"/>
    </row>
    <row r="23" spans="1:6" ht="29.25">
      <c r="A23" s="26"/>
      <c r="B23" s="27" t="s">
        <v>32</v>
      </c>
      <c r="C23" s="41">
        <f>D17+D21</f>
        <v>3412.903196605934</v>
      </c>
      <c r="D23" s="41"/>
      <c r="E23" s="41"/>
      <c r="F23" s="40"/>
    </row>
    <row r="24" spans="1:6" ht="15">
      <c r="A24" s="26"/>
      <c r="B24" s="27" t="s">
        <v>33</v>
      </c>
      <c r="C24" s="42">
        <f>E17+E21</f>
        <v>3.843359455637313</v>
      </c>
      <c r="D24" s="40"/>
      <c r="E24" s="40"/>
      <c r="F24" s="40"/>
    </row>
    <row r="25" spans="1:6" ht="3" customHeight="1">
      <c r="A25" s="26"/>
      <c r="B25" s="27"/>
      <c r="C25" s="42"/>
      <c r="D25" s="40"/>
      <c r="E25" s="40"/>
      <c r="F25" s="40"/>
    </row>
    <row r="26" spans="1:6" ht="30" customHeight="1">
      <c r="A26" s="88" t="s">
        <v>111</v>
      </c>
      <c r="B26" s="88"/>
      <c r="C26" s="88"/>
      <c r="D26" s="88"/>
      <c r="E26" s="88"/>
      <c r="F26" s="88"/>
    </row>
    <row r="27" spans="1:6" ht="6" customHeight="1">
      <c r="A27" s="1"/>
      <c r="B27" s="1"/>
      <c r="C27" s="1"/>
      <c r="D27" s="2"/>
      <c r="E27" s="2"/>
      <c r="F27" s="2"/>
    </row>
    <row r="28" spans="1:6" ht="85.5">
      <c r="A28" s="7"/>
      <c r="B28" s="8" t="s">
        <v>1</v>
      </c>
      <c r="C28" s="8" t="s">
        <v>2</v>
      </c>
      <c r="D28" s="8" t="s">
        <v>3</v>
      </c>
      <c r="E28" s="8" t="s">
        <v>4</v>
      </c>
      <c r="F28" s="2"/>
    </row>
    <row r="29" spans="1:5" ht="30" customHeight="1">
      <c r="A29" s="89" t="s">
        <v>123</v>
      </c>
      <c r="B29" s="89"/>
      <c r="C29" s="89"/>
      <c r="D29" s="17">
        <f>D30</f>
        <v>8.879999999999999</v>
      </c>
      <c r="E29" s="17">
        <f>E30</f>
        <v>0.01</v>
      </c>
    </row>
    <row r="30" spans="1:5" ht="30">
      <c r="A30" s="12" t="s">
        <v>5</v>
      </c>
      <c r="B30" s="43" t="s">
        <v>35</v>
      </c>
      <c r="C30" s="43" t="s">
        <v>42</v>
      </c>
      <c r="D30" s="15">
        <f>E30*12*$D$2</f>
        <v>8.879999999999999</v>
      </c>
      <c r="E30" s="44">
        <v>0.01</v>
      </c>
    </row>
    <row r="31" spans="1:5" ht="30" customHeight="1">
      <c r="A31" s="89" t="s">
        <v>102</v>
      </c>
      <c r="B31" s="89"/>
      <c r="C31" s="89"/>
      <c r="D31" s="17">
        <f>D32</f>
        <v>53.279999999999994</v>
      </c>
      <c r="E31" s="17">
        <f>E32</f>
        <v>0.06</v>
      </c>
    </row>
    <row r="32" spans="1:5" ht="15">
      <c r="A32" s="12" t="s">
        <v>34</v>
      </c>
      <c r="B32" s="45" t="s">
        <v>9</v>
      </c>
      <c r="C32" s="7" t="s">
        <v>42</v>
      </c>
      <c r="D32" s="15">
        <f>E32*$D$2*12</f>
        <v>53.279999999999994</v>
      </c>
      <c r="E32" s="16">
        <v>0.06</v>
      </c>
    </row>
    <row r="33" spans="1:6" ht="15">
      <c r="A33" s="8"/>
      <c r="B33" s="24" t="s">
        <v>24</v>
      </c>
      <c r="C33" s="24"/>
      <c r="D33" s="25">
        <f>D29+D31</f>
        <v>62.16</v>
      </c>
      <c r="E33" s="17">
        <f>E29+E31</f>
        <v>0.06999999999999999</v>
      </c>
      <c r="F33" s="5"/>
    </row>
    <row r="34" spans="1:6" ht="5.25" customHeight="1">
      <c r="A34" s="2"/>
      <c r="B34" s="2"/>
      <c r="C34" s="2"/>
      <c r="D34" s="2"/>
      <c r="E34" s="2"/>
      <c r="F34" s="2"/>
    </row>
    <row r="35" spans="1:6" ht="4.5" customHeight="1">
      <c r="A35" s="31"/>
      <c r="B35" s="31"/>
      <c r="C35" s="31"/>
      <c r="D35" s="31"/>
      <c r="E35" s="31"/>
      <c r="F35" s="32"/>
    </row>
    <row r="36" spans="1:6" ht="105">
      <c r="A36" s="10" t="s">
        <v>25</v>
      </c>
      <c r="B36" s="10" t="s">
        <v>26</v>
      </c>
      <c r="C36" s="10" t="s">
        <v>27</v>
      </c>
      <c r="D36" s="10" t="s">
        <v>28</v>
      </c>
      <c r="E36" s="10" t="s">
        <v>36</v>
      </c>
      <c r="F36" s="10" t="s">
        <v>30</v>
      </c>
    </row>
    <row r="37" spans="1:6" ht="15">
      <c r="A37" s="10">
        <v>1</v>
      </c>
      <c r="B37" s="7" t="s">
        <v>110</v>
      </c>
      <c r="C37" s="10" t="s">
        <v>47</v>
      </c>
      <c r="D37" s="10">
        <v>1509</v>
      </c>
      <c r="E37" s="46">
        <f>D37/12/$D$2</f>
        <v>1.6993243243243243</v>
      </c>
      <c r="F37" s="34">
        <v>2</v>
      </c>
    </row>
    <row r="38" spans="1:6" ht="15">
      <c r="A38" s="47"/>
      <c r="B38" s="47" t="s">
        <v>31</v>
      </c>
      <c r="C38" s="47"/>
      <c r="D38" s="48">
        <f>SUM(D37:D37)</f>
        <v>1509</v>
      </c>
      <c r="E38" s="49">
        <f>SUM(E37:E37)</f>
        <v>1.6993243243243243</v>
      </c>
      <c r="F38" s="47"/>
    </row>
    <row r="41" spans="2:3" ht="43.5">
      <c r="B41" s="27" t="s">
        <v>81</v>
      </c>
      <c r="C41" s="58">
        <f>C23</f>
        <v>3412.903196605934</v>
      </c>
    </row>
  </sheetData>
  <mergeCells count="8">
    <mergeCell ref="A4:E4"/>
    <mergeCell ref="A7:C7"/>
    <mergeCell ref="A10:C10"/>
    <mergeCell ref="A12:C12"/>
    <mergeCell ref="A31:C31"/>
    <mergeCell ref="A15:C15"/>
    <mergeCell ref="A26:F26"/>
    <mergeCell ref="A29:C29"/>
  </mergeCells>
  <printOptions/>
  <pageMargins left="0.7874015748031497" right="0.2362204724409449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20">
      <selection activeCell="B42" sqref="B42"/>
    </sheetView>
  </sheetViews>
  <sheetFormatPr defaultColWidth="9.140625" defaultRowHeight="12.75"/>
  <cols>
    <col min="1" max="1" width="3.421875" style="3" customWidth="1"/>
    <col min="2" max="2" width="40.8515625" style="3" customWidth="1"/>
    <col min="3" max="3" width="17.421875" style="3" customWidth="1"/>
    <col min="4" max="4" width="11.28125" style="3" customWidth="1"/>
    <col min="5" max="5" width="11.8515625" style="3" customWidth="1"/>
    <col min="6" max="6" width="8.57421875" style="3" customWidth="1"/>
    <col min="7" max="16384" width="9.140625" style="3" customWidth="1"/>
  </cols>
  <sheetData>
    <row r="1" ht="15">
      <c r="B1" s="56" t="s">
        <v>58</v>
      </c>
    </row>
    <row r="2" spans="1:6" ht="24" customHeight="1">
      <c r="A2" s="2"/>
      <c r="B2" s="1" t="s">
        <v>194</v>
      </c>
      <c r="C2" s="4"/>
      <c r="D2" s="57">
        <v>82</v>
      </c>
      <c r="E2" s="5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28.5" customHeight="1">
      <c r="A4" s="88" t="s">
        <v>109</v>
      </c>
      <c r="B4" s="88"/>
      <c r="C4" s="88"/>
      <c r="D4" s="88"/>
      <c r="E4" s="88"/>
      <c r="F4" s="2"/>
    </row>
    <row r="5" spans="1:6" ht="15">
      <c r="A5" s="1"/>
      <c r="B5" s="1"/>
      <c r="C5" s="1"/>
      <c r="D5" s="1"/>
      <c r="E5" s="1"/>
      <c r="F5" s="2"/>
    </row>
    <row r="6" spans="1:6" ht="85.5">
      <c r="A6" s="7"/>
      <c r="B6" s="8" t="s">
        <v>1</v>
      </c>
      <c r="C6" s="8" t="s">
        <v>2</v>
      </c>
      <c r="D6" s="8" t="s">
        <v>3</v>
      </c>
      <c r="E6" s="8" t="s">
        <v>4</v>
      </c>
      <c r="F6" s="2"/>
    </row>
    <row r="7" spans="1:7" ht="15">
      <c r="A7" s="90" t="s">
        <v>37</v>
      </c>
      <c r="B7" s="91"/>
      <c r="C7" s="92"/>
      <c r="D7" s="17">
        <f>SUM(D8:D9)</f>
        <v>538.2849753866266</v>
      </c>
      <c r="E7" s="17">
        <f>SUM(E8:E9)</f>
        <v>0.5470375766124255</v>
      </c>
      <c r="F7" s="20"/>
      <c r="G7" s="19"/>
    </row>
    <row r="8" spans="1:7" ht="15.75" customHeight="1">
      <c r="A8" s="12">
        <v>1</v>
      </c>
      <c r="B8" s="7" t="s">
        <v>11</v>
      </c>
      <c r="C8" s="14" t="s">
        <v>12</v>
      </c>
      <c r="D8" s="15">
        <f>E8*$D$2*12</f>
        <v>492.4839665019456</v>
      </c>
      <c r="E8" s="21">
        <v>0.500491835875961</v>
      </c>
      <c r="F8" s="18"/>
      <c r="G8" s="19"/>
    </row>
    <row r="9" spans="1:7" ht="30">
      <c r="A9" s="12">
        <v>2</v>
      </c>
      <c r="B9" s="13" t="s">
        <v>13</v>
      </c>
      <c r="C9" s="13" t="s">
        <v>14</v>
      </c>
      <c r="D9" s="15">
        <f>E9*$D$2*12</f>
        <v>45.80100888468097</v>
      </c>
      <c r="E9" s="21">
        <v>0.0465457407364644</v>
      </c>
      <c r="F9" s="18"/>
      <c r="G9" s="19"/>
    </row>
    <row r="10" spans="1:7" ht="29.25" customHeight="1">
      <c r="A10" s="90" t="s">
        <v>103</v>
      </c>
      <c r="B10" s="93"/>
      <c r="C10" s="94"/>
      <c r="D10" s="22">
        <f>SUM(D11:D11)</f>
        <v>17.49336601226954</v>
      </c>
      <c r="E10" s="22">
        <f>SUM(E11:E11)</f>
        <v>0.0177778109880788</v>
      </c>
      <c r="F10" s="18"/>
      <c r="G10" s="19"/>
    </row>
    <row r="11" spans="1:6" ht="75" customHeight="1">
      <c r="A11" s="12">
        <v>3</v>
      </c>
      <c r="B11" s="13" t="s">
        <v>38</v>
      </c>
      <c r="C11" s="13" t="s">
        <v>7</v>
      </c>
      <c r="D11" s="15">
        <f>E11*12*$D$2</f>
        <v>17.49336601226954</v>
      </c>
      <c r="E11" s="15">
        <v>0.0177778109880788</v>
      </c>
      <c r="F11" s="2"/>
    </row>
    <row r="12" spans="1:9" ht="15">
      <c r="A12" s="95" t="s">
        <v>39</v>
      </c>
      <c r="B12" s="96"/>
      <c r="C12" s="96"/>
      <c r="D12" s="11">
        <f>SUM(D13:D14)</f>
        <v>1362.4253600766058</v>
      </c>
      <c r="E12" s="11">
        <f>SUM(E13:E14)</f>
        <v>1.3845786179640303</v>
      </c>
      <c r="F12" s="2"/>
      <c r="G12" s="51"/>
      <c r="H12" s="51"/>
      <c r="I12" s="52"/>
    </row>
    <row r="13" spans="1:9" ht="75">
      <c r="A13" s="12">
        <v>4</v>
      </c>
      <c r="B13" s="64" t="s">
        <v>48</v>
      </c>
      <c r="C13" s="64" t="s">
        <v>7</v>
      </c>
      <c r="D13" s="15">
        <f>E13*12*$D$2</f>
        <v>154.7606423421351</v>
      </c>
      <c r="E13" s="15">
        <f>0.0727190176940859+0.0845580578568644</f>
        <v>0.1572770755509503</v>
      </c>
      <c r="F13" s="2"/>
      <c r="G13" s="51"/>
      <c r="H13" s="51"/>
      <c r="I13" s="52"/>
    </row>
    <row r="14" spans="1:9" ht="90">
      <c r="A14" s="12">
        <v>5</v>
      </c>
      <c r="B14" s="64" t="s">
        <v>19</v>
      </c>
      <c r="C14" s="64" t="s">
        <v>50</v>
      </c>
      <c r="D14" s="15">
        <f>E14*12*$D$2</f>
        <v>1207.6647177344707</v>
      </c>
      <c r="E14" s="21">
        <f>1.11477842781308+0.1125231146</f>
        <v>1.22730154241308</v>
      </c>
      <c r="F14" s="2"/>
      <c r="G14" s="54"/>
      <c r="H14" s="54"/>
      <c r="I14" s="54"/>
    </row>
    <row r="15" spans="1:9" ht="15">
      <c r="A15" s="95" t="s">
        <v>41</v>
      </c>
      <c r="B15" s="95"/>
      <c r="C15" s="95"/>
      <c r="D15" s="23">
        <f>SUM(D16)</f>
        <v>95.90712526911813</v>
      </c>
      <c r="E15" s="22">
        <f>SUM(E16)</f>
        <v>0.0974665907206485</v>
      </c>
      <c r="F15" s="2"/>
      <c r="G15" s="54"/>
      <c r="H15" s="54"/>
      <c r="I15" s="54"/>
    </row>
    <row r="16" spans="1:6" ht="15">
      <c r="A16" s="12">
        <v>6</v>
      </c>
      <c r="B16" s="13" t="s">
        <v>21</v>
      </c>
      <c r="C16" s="13" t="s">
        <v>22</v>
      </c>
      <c r="D16" s="15">
        <f>E16*12*$D$2</f>
        <v>95.90712526911813</v>
      </c>
      <c r="E16" s="21">
        <f>0.0231982980377217+0.0742682926829268</f>
        <v>0.0974665907206485</v>
      </c>
      <c r="F16" s="2"/>
    </row>
    <row r="17" spans="1:6" ht="15">
      <c r="A17" s="8"/>
      <c r="B17" s="24" t="s">
        <v>24</v>
      </c>
      <c r="C17" s="24"/>
      <c r="D17" s="25">
        <f>D7+D10+D12+D15</f>
        <v>2014.11082674462</v>
      </c>
      <c r="E17" s="17">
        <f>E7+E10+E12+E15</f>
        <v>2.046860596285183</v>
      </c>
      <c r="F17" s="5"/>
    </row>
    <row r="18" spans="1:6" ht="8.25" customHeight="1">
      <c r="A18" s="26"/>
      <c r="B18" s="27"/>
      <c r="C18" s="28"/>
      <c r="D18" s="29"/>
      <c r="E18" s="30"/>
      <c r="F18" s="2"/>
    </row>
    <row r="19" spans="1:6" ht="105">
      <c r="A19" s="10" t="s">
        <v>25</v>
      </c>
      <c r="B19" s="10" t="s">
        <v>26</v>
      </c>
      <c r="C19" s="10" t="s">
        <v>27</v>
      </c>
      <c r="D19" s="10" t="s">
        <v>28</v>
      </c>
      <c r="E19" s="10" t="s">
        <v>29</v>
      </c>
      <c r="F19" s="10" t="s">
        <v>30</v>
      </c>
    </row>
    <row r="20" spans="1:6" ht="15">
      <c r="A20" s="10">
        <v>1</v>
      </c>
      <c r="B20" s="7" t="s">
        <v>110</v>
      </c>
      <c r="C20" s="10" t="s">
        <v>119</v>
      </c>
      <c r="D20" s="10">
        <v>1760.5</v>
      </c>
      <c r="E20" s="33">
        <f>D20/12/$D$2</f>
        <v>1.7891260162601628</v>
      </c>
      <c r="F20" s="34">
        <v>2</v>
      </c>
    </row>
    <row r="21" spans="1:6" ht="15">
      <c r="A21" s="10"/>
      <c r="B21" s="36" t="s">
        <v>31</v>
      </c>
      <c r="C21" s="9"/>
      <c r="D21" s="37">
        <f>SUM(D20:D20)</f>
        <v>1760.5</v>
      </c>
      <c r="E21" s="38">
        <f>SUM(E20:E20)</f>
        <v>1.7891260162601628</v>
      </c>
      <c r="F21" s="39"/>
    </row>
    <row r="22" spans="1:6" ht="15">
      <c r="A22" s="26"/>
      <c r="B22" s="27"/>
      <c r="C22" s="40"/>
      <c r="D22" s="40"/>
      <c r="E22" s="40"/>
      <c r="F22" s="40"/>
    </row>
    <row r="23" spans="1:6" ht="29.25">
      <c r="A23" s="26"/>
      <c r="B23" s="27" t="s">
        <v>32</v>
      </c>
      <c r="C23" s="41">
        <f>D17+D21</f>
        <v>3774.6108267446198</v>
      </c>
      <c r="D23" s="41"/>
      <c r="E23" s="41"/>
      <c r="F23" s="40"/>
    </row>
    <row r="24" spans="1:6" ht="15">
      <c r="A24" s="26"/>
      <c r="B24" s="27" t="s">
        <v>33</v>
      </c>
      <c r="C24" s="42">
        <f>E17+E21</f>
        <v>3.835986612545346</v>
      </c>
      <c r="D24" s="40"/>
      <c r="E24" s="40"/>
      <c r="F24" s="40"/>
    </row>
    <row r="25" spans="1:6" ht="3" customHeight="1">
      <c r="A25" s="26"/>
      <c r="B25" s="27"/>
      <c r="C25" s="42"/>
      <c r="D25" s="40"/>
      <c r="E25" s="40"/>
      <c r="F25" s="40"/>
    </row>
    <row r="26" spans="1:6" ht="30" customHeight="1">
      <c r="A26" s="88" t="s">
        <v>111</v>
      </c>
      <c r="B26" s="88"/>
      <c r="C26" s="88"/>
      <c r="D26" s="88"/>
      <c r="E26" s="88"/>
      <c r="F26" s="88"/>
    </row>
    <row r="27" spans="1:6" ht="6" customHeight="1">
      <c r="A27" s="1"/>
      <c r="B27" s="1"/>
      <c r="C27" s="1"/>
      <c r="D27" s="2"/>
      <c r="E27" s="2"/>
      <c r="F27" s="2"/>
    </row>
    <row r="28" spans="1:6" ht="85.5">
      <c r="A28" s="7"/>
      <c r="B28" s="8" t="s">
        <v>1</v>
      </c>
      <c r="C28" s="8" t="s">
        <v>2</v>
      </c>
      <c r="D28" s="8" t="s">
        <v>3</v>
      </c>
      <c r="E28" s="8" t="s">
        <v>4</v>
      </c>
      <c r="F28" s="2"/>
    </row>
    <row r="29" spans="1:5" ht="30" customHeight="1">
      <c r="A29" s="89" t="s">
        <v>123</v>
      </c>
      <c r="B29" s="89"/>
      <c r="C29" s="89"/>
      <c r="D29" s="17">
        <f>D30</f>
        <v>9.84</v>
      </c>
      <c r="E29" s="17">
        <f>E30</f>
        <v>0.01</v>
      </c>
    </row>
    <row r="30" spans="1:5" ht="30">
      <c r="A30" s="12" t="s">
        <v>5</v>
      </c>
      <c r="B30" s="43" t="s">
        <v>35</v>
      </c>
      <c r="C30" s="43" t="s">
        <v>42</v>
      </c>
      <c r="D30" s="15">
        <f>E30*12*$D$2</f>
        <v>9.84</v>
      </c>
      <c r="E30" s="44">
        <v>0.01</v>
      </c>
    </row>
    <row r="31" spans="1:5" ht="30" customHeight="1">
      <c r="A31" s="89" t="s">
        <v>102</v>
      </c>
      <c r="B31" s="89"/>
      <c r="C31" s="89"/>
      <c r="D31" s="17">
        <f>D32</f>
        <v>59.04</v>
      </c>
      <c r="E31" s="17">
        <f>E32</f>
        <v>0.06</v>
      </c>
    </row>
    <row r="32" spans="1:5" ht="15">
      <c r="A32" s="12" t="s">
        <v>34</v>
      </c>
      <c r="B32" s="45" t="s">
        <v>9</v>
      </c>
      <c r="C32" s="7" t="s">
        <v>42</v>
      </c>
      <c r="D32" s="15">
        <f>E32*$D$2*12</f>
        <v>59.04</v>
      </c>
      <c r="E32" s="16">
        <v>0.06</v>
      </c>
    </row>
    <row r="33" spans="1:6" ht="15">
      <c r="A33" s="8"/>
      <c r="B33" s="24" t="s">
        <v>24</v>
      </c>
      <c r="C33" s="24"/>
      <c r="D33" s="25">
        <f>D29+D31</f>
        <v>68.88</v>
      </c>
      <c r="E33" s="17">
        <f>E29+E31</f>
        <v>0.06999999999999999</v>
      </c>
      <c r="F33" s="5"/>
    </row>
    <row r="34" spans="1:6" ht="5.25" customHeight="1">
      <c r="A34" s="2"/>
      <c r="B34" s="2"/>
      <c r="C34" s="2"/>
      <c r="D34" s="2"/>
      <c r="E34" s="2"/>
      <c r="F34" s="2"/>
    </row>
    <row r="35" spans="1:6" ht="4.5" customHeight="1">
      <c r="A35" s="31"/>
      <c r="B35" s="31"/>
      <c r="C35" s="31"/>
      <c r="D35" s="31"/>
      <c r="E35" s="31"/>
      <c r="F35" s="32"/>
    </row>
    <row r="36" spans="1:6" ht="105">
      <c r="A36" s="10" t="s">
        <v>25</v>
      </c>
      <c r="B36" s="10" t="s">
        <v>26</v>
      </c>
      <c r="C36" s="10" t="s">
        <v>27</v>
      </c>
      <c r="D36" s="10" t="s">
        <v>28</v>
      </c>
      <c r="E36" s="10" t="s">
        <v>36</v>
      </c>
      <c r="F36" s="10" t="s">
        <v>30</v>
      </c>
    </row>
    <row r="37" spans="1:6" ht="15">
      <c r="A37" s="10">
        <v>1</v>
      </c>
      <c r="B37" s="7" t="s">
        <v>110</v>
      </c>
      <c r="C37" s="10" t="s">
        <v>119</v>
      </c>
      <c r="D37" s="10">
        <v>1760.5</v>
      </c>
      <c r="E37" s="46">
        <f>D37/12/$D$2</f>
        <v>1.7891260162601628</v>
      </c>
      <c r="F37" s="34">
        <v>2</v>
      </c>
    </row>
    <row r="38" spans="1:6" ht="15">
      <c r="A38" s="47"/>
      <c r="B38" s="47" t="s">
        <v>31</v>
      </c>
      <c r="C38" s="47"/>
      <c r="D38" s="48">
        <f>SUM(D37:D37)</f>
        <v>1760.5</v>
      </c>
      <c r="E38" s="49">
        <f>SUM(E37:E37)</f>
        <v>1.7891260162601628</v>
      </c>
      <c r="F38" s="47"/>
    </row>
    <row r="41" spans="2:3" ht="43.5">
      <c r="B41" s="27" t="s">
        <v>82</v>
      </c>
      <c r="C41" s="58">
        <f>C23</f>
        <v>3774.6108267446198</v>
      </c>
    </row>
  </sheetData>
  <mergeCells count="8">
    <mergeCell ref="A31:C31"/>
    <mergeCell ref="A15:C15"/>
    <mergeCell ref="A26:F26"/>
    <mergeCell ref="A29:C29"/>
    <mergeCell ref="A4:E4"/>
    <mergeCell ref="A7:C7"/>
    <mergeCell ref="A10:C10"/>
    <mergeCell ref="A12:C12"/>
  </mergeCells>
  <printOptions/>
  <pageMargins left="0.7874015748031497" right="0.2362204724409449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2008-09-01T06:43:58Z</cp:lastPrinted>
  <dcterms:created xsi:type="dcterms:W3CDTF">1996-10-08T23:32:33Z</dcterms:created>
  <dcterms:modified xsi:type="dcterms:W3CDTF">2008-09-01T06:44:03Z</dcterms:modified>
  <cp:category/>
  <cp:version/>
  <cp:contentType/>
  <cp:contentStatus/>
</cp:coreProperties>
</file>