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603" activeTab="0"/>
  </bookViews>
  <sheets>
    <sheet name="Грищенко итоги на 29 10 13 (8)" sheetId="1" r:id="rId1"/>
  </sheets>
  <definedNames>
    <definedName name="_xlnm.Print_Area" localSheetId="0">'Грищенко итоги на 29 10 13 (8)'!$A$1:$S$57</definedName>
  </definedNames>
  <calcPr fullCalcOnLoad="1"/>
</workbook>
</file>

<file path=xl/sharedStrings.xml><?xml version="1.0" encoding="utf-8"?>
<sst xmlns="http://schemas.openxmlformats.org/spreadsheetml/2006/main" count="166" uniqueCount="89">
  <si>
    <t>Наименование</t>
  </si>
  <si>
    <t>Стоимость в ц. 00г.</t>
  </si>
  <si>
    <t>№</t>
  </si>
  <si>
    <t xml:space="preserve">ИТОГО </t>
  </si>
  <si>
    <t>Площадь тротуаров, м2</t>
  </si>
  <si>
    <t>Площадь проезжей части., м2</t>
  </si>
  <si>
    <t>Площадь м/д трамвайными путями</t>
  </si>
  <si>
    <t>В ценах 2001 г.</t>
  </si>
  <si>
    <t>В текущих ценах</t>
  </si>
  <si>
    <t>ТЕР</t>
  </si>
  <si>
    <t>ФЕР</t>
  </si>
  <si>
    <t>итого</t>
  </si>
  <si>
    <t>НДС</t>
  </si>
  <si>
    <t>Дорожный бортовой камень (п.м)</t>
  </si>
  <si>
    <t>Тротуарный бортовой камень (п.м)</t>
  </si>
  <si>
    <t>к/з 6 см</t>
  </si>
  <si>
    <t>к/з 6 см
ЩМА- 5см</t>
  </si>
  <si>
    <t>Выравнивающий /нижний слой</t>
  </si>
  <si>
    <t>Л.Ф</t>
  </si>
  <si>
    <t>Алексей</t>
  </si>
  <si>
    <t>Иван</t>
  </si>
  <si>
    <t>И.З.</t>
  </si>
  <si>
    <t>ЩМА</t>
  </si>
  <si>
    <t>БI</t>
  </si>
  <si>
    <t>ЩМА c ПБВ</t>
  </si>
  <si>
    <t xml:space="preserve"> ТЕР с к-7,15</t>
  </si>
  <si>
    <t>ФЕР к-6,66</t>
  </si>
  <si>
    <t>Б1</t>
  </si>
  <si>
    <t>Музейная площадь</t>
  </si>
  <si>
    <t xml:space="preserve">ЩМА </t>
  </si>
  <si>
    <t>В</t>
  </si>
  <si>
    <t xml:space="preserve">Всего в текущих ценах </t>
  </si>
  <si>
    <t>к/з 6 см,       ВII 3см</t>
  </si>
  <si>
    <t xml:space="preserve"> ЩМА c ПБВ, БI</t>
  </si>
  <si>
    <t xml:space="preserve">    ВII 3см</t>
  </si>
  <si>
    <t xml:space="preserve"> ЩМА, БI</t>
  </si>
  <si>
    <t xml:space="preserve">к/з 6 см
</t>
  </si>
  <si>
    <t xml:space="preserve">    ВII 3см,       </t>
  </si>
  <si>
    <t xml:space="preserve">    ВII 4см</t>
  </si>
  <si>
    <t>ЩМА  с ПБВ</t>
  </si>
  <si>
    <t xml:space="preserve">ЩМА  </t>
  </si>
  <si>
    <t>Ул. Соколовогорская от ул. Мясницкой до ул. Аэропорт</t>
  </si>
  <si>
    <t>ул. Мясницкая от ул. Крайняя до ул. Соколовогорская</t>
  </si>
  <si>
    <t>ул. им.Челюскинцев от ул. Соборной до ул. им.Некрасова Н.А.</t>
  </si>
  <si>
    <t>Ул. Комсомольская от ул. Кузнечной до ул. Первомайской</t>
  </si>
  <si>
    <t>Ул. им. Некрасова Н.А. от ул. им. Челюскинцев до ул. Кузнечной</t>
  </si>
  <si>
    <t>Пр. Энтузиастов от ул. им.Пономарева П.Т. до ул. Крымской (путепровод "Радуга")</t>
  </si>
  <si>
    <t>Пр. Энтузиастов от ул. Крымской до ул.им. Азина В.М.</t>
  </si>
  <si>
    <t>ул. Барнаульская от ул. Пензенская до 5-го Динамовского проезда с устройством тротуара</t>
  </si>
  <si>
    <t>ул. Барнаульская от ул. Авиастроителей до рынка с выездом на пр. Энтузиастов</t>
  </si>
  <si>
    <t>ул. Барнаульская от 5-го Динамовского проезда до пр. Энтузиастов</t>
  </si>
  <si>
    <t>ул. им. Чернышевского Н.Г. от 4-го Чернышевского проезда  до торгового комплекса "Реал", ул. им. Орджоникидзе Г.К. от торгового комплекса "Реал" до ОАО "Саратовгаз"</t>
  </si>
  <si>
    <t>Ремонт путепровода "195" через железную дорогу на км 0+956 улицы им. Орджоникидзе Г.К.</t>
  </si>
  <si>
    <t>Ул. Московская от ул. Аткарской до ул. Вольской</t>
  </si>
  <si>
    <t>ул. им. Кутякова И.С., им. Горького А.М., ул.Б.Горная, ул. им. Радищева А.Н.</t>
  </si>
  <si>
    <t>Ул. Аэропорт от кольца на ул. Симбирской до КП ГИБДД</t>
  </si>
  <si>
    <t>Кольцевая развязка на ул. Симбирская</t>
  </si>
  <si>
    <t>ул.им. Чапаева В.И. от ул. им. Кутякова И.С. до ул. Б.Горной</t>
  </si>
  <si>
    <t>Ул. им.Ломоносова М.В. от пр. Строителей до пересечения с ул.Измайлова</t>
  </si>
  <si>
    <t>Ул. им. Лебедева Кумача В.И. от ул. им. Тархова К.В. до Северного рынка</t>
  </si>
  <si>
    <t>Ул.им. Шехурдина А.П. от путепровода на 3-й Дачной до кольцевой развязки в районе пр. Строителей</t>
  </si>
  <si>
    <t xml:space="preserve"> 2-й Станционный проезд от ул. Дегтярной до ул. Астраханской (до АЗС)</t>
  </si>
  <si>
    <t>ул. Политехническая от ул. Беговой до ул. Ново-Астраханское шоссе</t>
  </si>
  <si>
    <t>ул. Б.Садовая от ул. Беговой до ул. 2-й Садовой</t>
  </si>
  <si>
    <t>ул.им. МиротворцеваС.Р. от ул. 2-я Садовая до ул. Новоузенской</t>
  </si>
  <si>
    <t xml:space="preserve">ул. им. Пушкина А.С. </t>
  </si>
  <si>
    <t xml:space="preserve">Тротуар по ул. Комсомольская от ул. Кузнечная до ул. Московской </t>
  </si>
  <si>
    <t xml:space="preserve">Тротуар по ул. им. Некрасова Н.А. от ул. ул. Кузнечная до ул. Московская </t>
  </si>
  <si>
    <t>Тротуар по ул. Кузнечная от ул. им. Некрасова Н.А. до ул. Комсомольской</t>
  </si>
  <si>
    <t xml:space="preserve">Тротуар по ул. Федоровской (район ФОК в пос. Юбилейный) </t>
  </si>
  <si>
    <t>Проспект Строителей</t>
  </si>
  <si>
    <t>Тротуар по ул.им.Пугачева Е. И. от ул.Б.Казачьей до МОУ "СОШ №67"</t>
  </si>
  <si>
    <t>Тротуар по ул. Б.Казачья от л. им. Чапаева В.И. от ул. им.Рахова В.Г.</t>
  </si>
  <si>
    <t>Ул. Черниговская в направлении к ул. Безымянной</t>
  </si>
  <si>
    <t xml:space="preserve"> ул. им. Батавина П.Ф. /ул. Топольчанская</t>
  </si>
  <si>
    <t>Ул.им. Блинова Ф.А. от ул. Перспективная до микрорайона №1</t>
  </si>
  <si>
    <t>Тротуар по ул.1-й проезд Строителей от пр. Строителей до ул. Производственной</t>
  </si>
  <si>
    <t>Тротуар по ул. Селекционный проезд (школа слабовидящих)</t>
  </si>
  <si>
    <t xml:space="preserve">Тротуар по ул. им. Клочкова В.Г. от д.№52/64 до ТД «Родина» </t>
  </si>
  <si>
    <t>Тротуар по ул.им. Чапаева В.И. на участке от ул. Советской до ул. им. Сакко и Ванцетти</t>
  </si>
  <si>
    <t>Тротуар по ул. 2-я Садовая у входа в горпарк</t>
  </si>
  <si>
    <t>Тротуар по ул. 2-я Садовая/ул. Б.Садовая</t>
  </si>
  <si>
    <t>Тротуар по ул.Сакко и Ванцетти от д.31 до ул.Вольской</t>
  </si>
  <si>
    <t>Ул. им. Разина С. Т. на участке между ул. Б.Горная и ул. им. Посадского</t>
  </si>
  <si>
    <t>Улицы Саратова 2013 г.</t>
  </si>
  <si>
    <t>Исполнение, %</t>
  </si>
  <si>
    <t>в виду наличия коммуникаций работы проведены не будут</t>
  </si>
  <si>
    <t>Всего по состоянию на 29.10.2013 г. отработано и находится в работе 45 объектов (37 объектов полностью завершены, 8 в завершиющей стадии) общая ожидаемая площадь  ремонта проезжей части -372 289,81 кв. м (99% от предуссмотренного объема муниципальной программы), тротуара 38871,41(100%).</t>
  </si>
  <si>
    <t>Тротуар по ул.Советская на участке между ул.им.Радищева А.Н. и ул.Вольской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</si>
</sst>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0"/>
    <numFmt numFmtId="167" formatCode="#,##0.0_ ;\-#,##0.0\ "/>
    <numFmt numFmtId="168" formatCode="#,##0.00_ ;\-#,##0.00\ "/>
    <numFmt numFmtId="169" formatCode="#,##0_ ;\-#,##0\ "/>
    <numFmt numFmtId="170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166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right" wrapText="1"/>
    </xf>
    <xf numFmtId="0" fontId="8" fillId="33" borderId="15" xfId="0" applyFont="1" applyFill="1" applyBorder="1" applyAlignment="1">
      <alignment wrapText="1"/>
    </xf>
    <xf numFmtId="0" fontId="8" fillId="33" borderId="10" xfId="0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3" fontId="8" fillId="0" borderId="10" xfId="0" applyNumberFormat="1" applyFont="1" applyFill="1" applyBorder="1" applyAlignment="1">
      <alignment horizontal="right" vertical="center"/>
    </xf>
    <xf numFmtId="43" fontId="8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43" fontId="9" fillId="0" borderId="1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43" fontId="6" fillId="0" borderId="10" xfId="0" applyNumberFormat="1" applyFont="1" applyFill="1" applyBorder="1" applyAlignment="1">
      <alignment horizontal="right" vertical="center"/>
    </xf>
    <xf numFmtId="43" fontId="6" fillId="0" borderId="17" xfId="0" applyNumberFormat="1" applyFont="1" applyFill="1" applyBorder="1" applyAlignment="1">
      <alignment horizontal="right" vertical="center"/>
    </xf>
    <xf numFmtId="43" fontId="3" fillId="0" borderId="10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right" vertical="center"/>
    </xf>
    <xf numFmtId="168" fontId="8" fillId="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right" vertical="center"/>
    </xf>
    <xf numFmtId="41" fontId="8" fillId="0" borderId="17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 wrapText="1"/>
    </xf>
    <xf numFmtId="166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3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ill="1" applyBorder="1" applyAlignment="1">
      <alignment horizontal="justify" wrapText="1"/>
    </xf>
    <xf numFmtId="0" fontId="3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="90" zoomScaleSheetLayoutView="90" zoomScalePageLayoutView="0" workbookViewId="0" topLeftCell="C1">
      <selection activeCell="D44" sqref="D44"/>
    </sheetView>
  </sheetViews>
  <sheetFormatPr defaultColWidth="9.140625" defaultRowHeight="15"/>
  <cols>
    <col min="1" max="1" width="6.140625" style="5" hidden="1" customWidth="1"/>
    <col min="2" max="2" width="5.8515625" style="5" hidden="1" customWidth="1"/>
    <col min="3" max="3" width="4.00390625" style="5" customWidth="1"/>
    <col min="4" max="4" width="39.28125" style="5" customWidth="1"/>
    <col min="5" max="5" width="14.421875" style="5" customWidth="1"/>
    <col min="6" max="6" width="14.140625" style="5" customWidth="1"/>
    <col min="7" max="7" width="15.57421875" style="5" hidden="1" customWidth="1"/>
    <col min="8" max="8" width="12.7109375" style="5" hidden="1" customWidth="1"/>
    <col min="9" max="9" width="12.8515625" style="5" hidden="1" customWidth="1"/>
    <col min="10" max="10" width="12.57421875" style="5" hidden="1" customWidth="1"/>
    <col min="11" max="11" width="17.28125" style="5" hidden="1" customWidth="1"/>
    <col min="12" max="12" width="16.421875" style="5" hidden="1" customWidth="1"/>
    <col min="13" max="13" width="14.8515625" style="5" hidden="1" customWidth="1"/>
    <col min="14" max="14" width="19.140625" style="5" hidden="1" customWidth="1"/>
    <col min="15" max="15" width="17.8515625" style="5" hidden="1" customWidth="1"/>
    <col min="16" max="16" width="21.7109375" style="5" hidden="1" customWidth="1"/>
    <col min="17" max="17" width="18.00390625" style="5" hidden="1" customWidth="1"/>
    <col min="18" max="18" width="19.8515625" style="5" customWidth="1"/>
    <col min="19" max="19" width="10.28125" style="5" hidden="1" customWidth="1"/>
    <col min="20" max="20" width="11.8515625" style="5" hidden="1" customWidth="1"/>
    <col min="21" max="16384" width="9.140625" style="5" customWidth="1"/>
  </cols>
  <sheetData>
    <row r="1" spans="1:20" ht="15">
      <c r="A1" s="15"/>
      <c r="C1" s="76" t="s">
        <v>84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3"/>
      <c r="R1" s="4"/>
      <c r="S1" s="4"/>
      <c r="T1" s="4"/>
    </row>
    <row r="2" spans="1:20" ht="15" customHeight="1">
      <c r="A2" s="7"/>
      <c r="B2" s="10"/>
      <c r="C2" s="77" t="s">
        <v>2</v>
      </c>
      <c r="D2" s="77" t="s">
        <v>0</v>
      </c>
      <c r="E2" s="79" t="s">
        <v>5</v>
      </c>
      <c r="F2" s="79" t="s">
        <v>4</v>
      </c>
      <c r="G2" s="81" t="s">
        <v>6</v>
      </c>
      <c r="H2" s="83" t="s">
        <v>17</v>
      </c>
      <c r="I2" s="83" t="s">
        <v>13</v>
      </c>
      <c r="J2" s="83" t="s">
        <v>14</v>
      </c>
      <c r="K2" s="87" t="s">
        <v>7</v>
      </c>
      <c r="L2" s="88"/>
      <c r="M2" s="89"/>
      <c r="N2" s="90" t="s">
        <v>8</v>
      </c>
      <c r="O2" s="91"/>
      <c r="P2" s="92"/>
      <c r="Q2" s="83" t="s">
        <v>12</v>
      </c>
      <c r="R2" s="83" t="s">
        <v>31</v>
      </c>
      <c r="S2" s="14"/>
      <c r="T2" s="93" t="s">
        <v>85</v>
      </c>
    </row>
    <row r="3" spans="1:20" ht="29.25" customHeight="1" thickBot="1">
      <c r="A3" s="7"/>
      <c r="B3" s="11"/>
      <c r="C3" s="78"/>
      <c r="D3" s="78"/>
      <c r="E3" s="80"/>
      <c r="F3" s="80"/>
      <c r="G3" s="82"/>
      <c r="H3" s="84"/>
      <c r="I3" s="84"/>
      <c r="J3" s="84"/>
      <c r="K3" s="18" t="s">
        <v>1</v>
      </c>
      <c r="L3" s="25" t="s">
        <v>9</v>
      </c>
      <c r="M3" s="25" t="s">
        <v>10</v>
      </c>
      <c r="N3" s="25" t="s">
        <v>25</v>
      </c>
      <c r="O3" s="25" t="s">
        <v>26</v>
      </c>
      <c r="P3" s="26" t="s">
        <v>11</v>
      </c>
      <c r="Q3" s="84"/>
      <c r="R3" s="84"/>
      <c r="T3" s="94"/>
    </row>
    <row r="4" spans="1:20" s="20" customFormat="1" ht="31.5">
      <c r="A4" s="9" t="s">
        <v>21</v>
      </c>
      <c r="B4" s="17" t="s">
        <v>40</v>
      </c>
      <c r="C4" s="6">
        <v>1</v>
      </c>
      <c r="D4" s="32" t="s">
        <v>41</v>
      </c>
      <c r="E4" s="38">
        <v>6717.7</v>
      </c>
      <c r="F4" s="39">
        <v>300</v>
      </c>
      <c r="G4" s="38"/>
      <c r="H4" s="40" t="s">
        <v>15</v>
      </c>
      <c r="I4" s="40"/>
      <c r="J4" s="40">
        <v>200</v>
      </c>
      <c r="K4" s="41">
        <v>1125243</v>
      </c>
      <c r="L4" s="41">
        <f aca="true" t="shared" si="0" ref="L4:L30">K4-M4</f>
        <v>1113288</v>
      </c>
      <c r="M4" s="41">
        <f>11359+332+264</f>
        <v>11955</v>
      </c>
      <c r="N4" s="42">
        <f aca="true" t="shared" si="1" ref="N4:N30">L4*7.15</f>
        <v>7960009.2</v>
      </c>
      <c r="O4" s="42">
        <f aca="true" t="shared" si="2" ref="O4:O32">M4*6.66</f>
        <v>79620.3</v>
      </c>
      <c r="P4" s="43">
        <f aca="true" t="shared" si="3" ref="P4:P30">N4+O4</f>
        <v>8039629.5</v>
      </c>
      <c r="Q4" s="42">
        <f aca="true" t="shared" si="4" ref="Q4:Q30">P4*0.18</f>
        <v>1447133.31</v>
      </c>
      <c r="R4" s="42">
        <f>P4+Q4</f>
        <v>9486762.81</v>
      </c>
      <c r="S4" s="66" t="s">
        <v>24</v>
      </c>
      <c r="T4" s="9">
        <v>100</v>
      </c>
    </row>
    <row r="5" spans="1:20" s="20" customFormat="1" ht="31.5">
      <c r="A5" s="9" t="s">
        <v>21</v>
      </c>
      <c r="B5" s="9" t="s">
        <v>22</v>
      </c>
      <c r="C5" s="6">
        <v>2</v>
      </c>
      <c r="D5" s="28" t="s">
        <v>42</v>
      </c>
      <c r="E5" s="38">
        <v>5392</v>
      </c>
      <c r="F5" s="38"/>
      <c r="G5" s="38"/>
      <c r="H5" s="40" t="s">
        <v>15</v>
      </c>
      <c r="I5" s="40"/>
      <c r="J5" s="40"/>
      <c r="K5" s="41">
        <v>904309</v>
      </c>
      <c r="L5" s="41">
        <f t="shared" si="0"/>
        <v>894922</v>
      </c>
      <c r="M5" s="41">
        <f>9117+270</f>
        <v>9387</v>
      </c>
      <c r="N5" s="42">
        <f t="shared" si="1"/>
        <v>6398692.300000001</v>
      </c>
      <c r="O5" s="42">
        <f t="shared" si="2"/>
        <v>62517.42</v>
      </c>
      <c r="P5" s="43">
        <f t="shared" si="3"/>
        <v>6461209.720000001</v>
      </c>
      <c r="Q5" s="42">
        <f t="shared" si="4"/>
        <v>1163017.7496</v>
      </c>
      <c r="R5" s="42">
        <f aca="true" t="shared" si="5" ref="R5:R30">P5+Q5</f>
        <v>7624227.4696</v>
      </c>
      <c r="S5" s="66" t="s">
        <v>29</v>
      </c>
      <c r="T5" s="9">
        <v>100</v>
      </c>
    </row>
    <row r="6" spans="1:20" s="20" customFormat="1" ht="31.5">
      <c r="A6" s="9" t="s">
        <v>20</v>
      </c>
      <c r="B6" s="24" t="s">
        <v>29</v>
      </c>
      <c r="C6" s="6">
        <v>3</v>
      </c>
      <c r="D6" s="29" t="s">
        <v>43</v>
      </c>
      <c r="E6" s="38">
        <v>1845</v>
      </c>
      <c r="F6" s="38">
        <v>624</v>
      </c>
      <c r="G6" s="38"/>
      <c r="H6" s="44" t="s">
        <v>37</v>
      </c>
      <c r="I6" s="40">
        <v>312</v>
      </c>
      <c r="J6" s="40">
        <v>315</v>
      </c>
      <c r="K6" s="41">
        <v>396608</v>
      </c>
      <c r="L6" s="41">
        <f t="shared" si="0"/>
        <v>392606</v>
      </c>
      <c r="M6" s="41">
        <f>703+2228+548+523</f>
        <v>4002</v>
      </c>
      <c r="N6" s="42">
        <f t="shared" si="1"/>
        <v>2807132.9</v>
      </c>
      <c r="O6" s="42">
        <f t="shared" si="2"/>
        <v>26653.32</v>
      </c>
      <c r="P6" s="43">
        <f t="shared" si="3"/>
        <v>2833786.2199999997</v>
      </c>
      <c r="Q6" s="42">
        <f t="shared" si="4"/>
        <v>510081.51959999994</v>
      </c>
      <c r="R6" s="42">
        <f t="shared" si="5"/>
        <v>3343867.7395999995</v>
      </c>
      <c r="S6" s="66" t="s">
        <v>35</v>
      </c>
      <c r="T6" s="9">
        <v>100</v>
      </c>
    </row>
    <row r="7" spans="1:20" s="20" customFormat="1" ht="31.5">
      <c r="A7" s="9" t="s">
        <v>21</v>
      </c>
      <c r="B7" s="17" t="s">
        <v>40</v>
      </c>
      <c r="C7" s="6">
        <v>4</v>
      </c>
      <c r="D7" s="29" t="s">
        <v>28</v>
      </c>
      <c r="E7" s="38">
        <f>3384.3</f>
        <v>3384.3</v>
      </c>
      <c r="F7" s="39"/>
      <c r="G7" s="38"/>
      <c r="H7" s="44" t="s">
        <v>36</v>
      </c>
      <c r="I7" s="40">
        <f>514</f>
        <v>514</v>
      </c>
      <c r="J7" s="40"/>
      <c r="K7" s="41">
        <v>652166</v>
      </c>
      <c r="L7" s="41">
        <f t="shared" si="0"/>
        <v>642015</v>
      </c>
      <c r="M7" s="40">
        <f>1158+8993</f>
        <v>10151</v>
      </c>
      <c r="N7" s="42">
        <f t="shared" si="1"/>
        <v>4590407.25</v>
      </c>
      <c r="O7" s="42">
        <f t="shared" si="2"/>
        <v>67605.66</v>
      </c>
      <c r="P7" s="43">
        <f t="shared" si="3"/>
        <v>4658012.91</v>
      </c>
      <c r="Q7" s="42">
        <f t="shared" si="4"/>
        <v>838442.3238</v>
      </c>
      <c r="R7" s="42">
        <f t="shared" si="5"/>
        <v>5496455.2338000005</v>
      </c>
      <c r="S7" s="66"/>
      <c r="T7" s="9">
        <v>100</v>
      </c>
    </row>
    <row r="8" spans="1:20" ht="31.5">
      <c r="A8" s="8" t="s">
        <v>20</v>
      </c>
      <c r="B8" s="17" t="s">
        <v>27</v>
      </c>
      <c r="C8" s="6">
        <v>5</v>
      </c>
      <c r="D8" s="29" t="s">
        <v>44</v>
      </c>
      <c r="E8" s="38">
        <v>3360</v>
      </c>
      <c r="F8" s="38"/>
      <c r="G8" s="38"/>
      <c r="H8" s="44" t="s">
        <v>37</v>
      </c>
      <c r="I8" s="40">
        <v>700</v>
      </c>
      <c r="J8" s="40"/>
      <c r="K8" s="41">
        <v>520076</v>
      </c>
      <c r="L8" s="41">
        <f t="shared" si="0"/>
        <v>514441</v>
      </c>
      <c r="M8" s="41">
        <f>1577+4058</f>
        <v>5635</v>
      </c>
      <c r="N8" s="42">
        <f t="shared" si="1"/>
        <v>3678253.1500000004</v>
      </c>
      <c r="O8" s="42">
        <f t="shared" si="2"/>
        <v>37529.1</v>
      </c>
      <c r="P8" s="43">
        <f t="shared" si="3"/>
        <v>3715782.2500000005</v>
      </c>
      <c r="Q8" s="42">
        <f t="shared" si="4"/>
        <v>668840.805</v>
      </c>
      <c r="R8" s="45">
        <f t="shared" si="5"/>
        <v>4384623.055000001</v>
      </c>
      <c r="S8" s="67"/>
      <c r="T8" s="9">
        <v>100</v>
      </c>
    </row>
    <row r="9" spans="1:20" ht="31.5">
      <c r="A9" s="8"/>
      <c r="B9" s="17" t="s">
        <v>27</v>
      </c>
      <c r="C9" s="6">
        <v>6</v>
      </c>
      <c r="D9" s="29" t="s">
        <v>45</v>
      </c>
      <c r="E9" s="38">
        <v>1050</v>
      </c>
      <c r="F9" s="38"/>
      <c r="G9" s="38"/>
      <c r="H9" s="44" t="s">
        <v>37</v>
      </c>
      <c r="I9" s="40">
        <v>300</v>
      </c>
      <c r="J9" s="40"/>
      <c r="K9" s="41">
        <v>178067</v>
      </c>
      <c r="L9" s="41">
        <f t="shared" si="0"/>
        <v>176123</v>
      </c>
      <c r="M9" s="41">
        <f>676+1268</f>
        <v>1944</v>
      </c>
      <c r="N9" s="42">
        <f t="shared" si="1"/>
        <v>1259279.45</v>
      </c>
      <c r="O9" s="42">
        <f t="shared" si="2"/>
        <v>12947.04</v>
      </c>
      <c r="P9" s="43">
        <f t="shared" si="3"/>
        <v>1272226.49</v>
      </c>
      <c r="Q9" s="42">
        <f t="shared" si="4"/>
        <v>229000.7682</v>
      </c>
      <c r="R9" s="45">
        <f t="shared" si="5"/>
        <v>1501227.2582</v>
      </c>
      <c r="S9" s="67"/>
      <c r="T9" s="9">
        <v>100</v>
      </c>
    </row>
    <row r="10" spans="1:20" s="20" customFormat="1" ht="31.5" customHeight="1">
      <c r="A10" s="9" t="s">
        <v>21</v>
      </c>
      <c r="B10" s="19" t="s">
        <v>22</v>
      </c>
      <c r="C10" s="6">
        <v>7</v>
      </c>
      <c r="D10" s="34" t="s">
        <v>46</v>
      </c>
      <c r="E10" s="38">
        <f>5098+G10</f>
        <v>6861</v>
      </c>
      <c r="F10" s="38">
        <v>1652.3</v>
      </c>
      <c r="G10" s="38">
        <v>1763</v>
      </c>
      <c r="H10" s="40" t="s">
        <v>15</v>
      </c>
      <c r="I10" s="40">
        <v>436</v>
      </c>
      <c r="J10" s="40"/>
      <c r="K10" s="41">
        <v>1565374</v>
      </c>
      <c r="L10" s="41">
        <f t="shared" si="0"/>
        <v>1543587</v>
      </c>
      <c r="M10" s="41">
        <f>982+13546+5808+1451</f>
        <v>21787</v>
      </c>
      <c r="N10" s="42">
        <f t="shared" si="1"/>
        <v>11036647.05</v>
      </c>
      <c r="O10" s="42">
        <f t="shared" si="2"/>
        <v>145101.42</v>
      </c>
      <c r="P10" s="43">
        <f t="shared" si="3"/>
        <v>11181748.47</v>
      </c>
      <c r="Q10" s="42">
        <f t="shared" si="4"/>
        <v>2012714.7246</v>
      </c>
      <c r="R10" s="42">
        <f t="shared" si="5"/>
        <v>13194463.194600001</v>
      </c>
      <c r="S10" s="68" t="s">
        <v>22</v>
      </c>
      <c r="T10" s="9">
        <v>100</v>
      </c>
    </row>
    <row r="11" spans="1:20" s="20" customFormat="1" ht="31.5" customHeight="1">
      <c r="A11" s="9" t="s">
        <v>19</v>
      </c>
      <c r="B11" s="19" t="s">
        <v>22</v>
      </c>
      <c r="C11" s="6">
        <v>8</v>
      </c>
      <c r="D11" s="34" t="s">
        <v>47</v>
      </c>
      <c r="E11" s="38">
        <f>31266.2+G11</f>
        <v>31606.2</v>
      </c>
      <c r="F11" s="38">
        <v>584</v>
      </c>
      <c r="G11" s="38">
        <v>340</v>
      </c>
      <c r="H11" s="40" t="s">
        <v>15</v>
      </c>
      <c r="I11" s="40">
        <v>4789</v>
      </c>
      <c r="J11" s="40"/>
      <c r="K11" s="41">
        <v>6168338</v>
      </c>
      <c r="L11" s="41">
        <f t="shared" si="0"/>
        <v>6072836</v>
      </c>
      <c r="M11" s="41">
        <f>10790+83079+1120+513</f>
        <v>95502</v>
      </c>
      <c r="N11" s="42">
        <f t="shared" si="1"/>
        <v>43420777.4</v>
      </c>
      <c r="O11" s="42">
        <f t="shared" si="2"/>
        <v>636043.3200000001</v>
      </c>
      <c r="P11" s="43">
        <f t="shared" si="3"/>
        <v>44056820.72</v>
      </c>
      <c r="Q11" s="42">
        <f t="shared" si="4"/>
        <v>7930227.729599999</v>
      </c>
      <c r="R11" s="42">
        <f t="shared" si="5"/>
        <v>51987048.449599996</v>
      </c>
      <c r="S11" s="68" t="s">
        <v>22</v>
      </c>
      <c r="T11" s="9">
        <v>100</v>
      </c>
    </row>
    <row r="12" spans="1:20" s="20" customFormat="1" ht="45.75" customHeight="1">
      <c r="A12" s="9" t="s">
        <v>19</v>
      </c>
      <c r="B12" s="19" t="s">
        <v>27</v>
      </c>
      <c r="C12" s="6">
        <v>9</v>
      </c>
      <c r="D12" s="28" t="s">
        <v>48</v>
      </c>
      <c r="E12" s="38">
        <f>6060</f>
        <v>6060</v>
      </c>
      <c r="F12" s="38">
        <v>1319</v>
      </c>
      <c r="G12" s="38"/>
      <c r="H12" s="40" t="s">
        <v>15</v>
      </c>
      <c r="I12" s="40">
        <v>1295</v>
      </c>
      <c r="J12" s="40">
        <v>807</v>
      </c>
      <c r="K12" s="41">
        <v>2573148</v>
      </c>
      <c r="L12" s="41">
        <f t="shared" si="0"/>
        <v>2207763</v>
      </c>
      <c r="M12" s="41">
        <f>4125+311+1100+327616+32096+137</f>
        <v>365385</v>
      </c>
      <c r="N12" s="42">
        <f t="shared" si="1"/>
        <v>15785505.450000001</v>
      </c>
      <c r="O12" s="42">
        <f t="shared" si="2"/>
        <v>2433464.1</v>
      </c>
      <c r="P12" s="43">
        <f t="shared" si="3"/>
        <v>18218969.55</v>
      </c>
      <c r="Q12" s="42">
        <f t="shared" si="4"/>
        <v>3279414.519</v>
      </c>
      <c r="R12" s="42">
        <f t="shared" si="5"/>
        <v>21498384.069000002</v>
      </c>
      <c r="S12" s="68"/>
      <c r="T12" s="85" t="s">
        <v>86</v>
      </c>
    </row>
    <row r="13" spans="1:20" s="20" customFormat="1" ht="31.5" customHeight="1">
      <c r="A13" s="9" t="s">
        <v>21</v>
      </c>
      <c r="B13" s="19" t="s">
        <v>27</v>
      </c>
      <c r="C13" s="6">
        <v>10</v>
      </c>
      <c r="D13" s="28" t="s">
        <v>49</v>
      </c>
      <c r="E13" s="38">
        <f>1571+995.1+399</f>
        <v>2965.1</v>
      </c>
      <c r="F13" s="38">
        <v>256.5</v>
      </c>
      <c r="G13" s="38"/>
      <c r="H13" s="40" t="s">
        <v>15</v>
      </c>
      <c r="I13" s="40">
        <v>521</v>
      </c>
      <c r="J13" s="40">
        <v>1725</v>
      </c>
      <c r="K13" s="41">
        <v>866713</v>
      </c>
      <c r="L13" s="41">
        <f t="shared" si="0"/>
        <v>808062</v>
      </c>
      <c r="M13" s="41">
        <f>1475+131+465+45831+10409+340</f>
        <v>58651</v>
      </c>
      <c r="N13" s="42">
        <f t="shared" si="1"/>
        <v>5777643.300000001</v>
      </c>
      <c r="O13" s="42">
        <f t="shared" si="2"/>
        <v>390615.66000000003</v>
      </c>
      <c r="P13" s="43">
        <f t="shared" si="3"/>
        <v>6168258.960000001</v>
      </c>
      <c r="Q13" s="42">
        <f t="shared" si="4"/>
        <v>1110286.6128000002</v>
      </c>
      <c r="R13" s="42">
        <f t="shared" si="5"/>
        <v>7278545.572800001</v>
      </c>
      <c r="S13" s="68"/>
      <c r="T13" s="86"/>
    </row>
    <row r="14" spans="1:20" s="20" customFormat="1" ht="51.75" customHeight="1">
      <c r="A14" s="9" t="s">
        <v>19</v>
      </c>
      <c r="B14" s="19" t="s">
        <v>22</v>
      </c>
      <c r="C14" s="6">
        <v>11</v>
      </c>
      <c r="D14" s="28" t="s">
        <v>50</v>
      </c>
      <c r="E14" s="38">
        <v>1500</v>
      </c>
      <c r="F14" s="38"/>
      <c r="G14" s="38"/>
      <c r="H14" s="44" t="s">
        <v>37</v>
      </c>
      <c r="I14" s="40">
        <v>227</v>
      </c>
      <c r="J14" s="40"/>
      <c r="K14" s="41">
        <v>216169</v>
      </c>
      <c r="L14" s="41">
        <f t="shared" si="0"/>
        <v>213122</v>
      </c>
      <c r="M14" s="41">
        <f>511+2536</f>
        <v>3047</v>
      </c>
      <c r="N14" s="42">
        <f t="shared" si="1"/>
        <v>1523822.3</v>
      </c>
      <c r="O14" s="42">
        <f t="shared" si="2"/>
        <v>20293.02</v>
      </c>
      <c r="P14" s="43">
        <f t="shared" si="3"/>
        <v>1544115.32</v>
      </c>
      <c r="Q14" s="42">
        <f t="shared" si="4"/>
        <v>277940.7576</v>
      </c>
      <c r="R14" s="42">
        <f t="shared" si="5"/>
        <v>1822056.0776</v>
      </c>
      <c r="S14" s="68" t="s">
        <v>22</v>
      </c>
      <c r="T14" s="9">
        <v>100</v>
      </c>
    </row>
    <row r="15" spans="1:20" s="20" customFormat="1" ht="48" customHeight="1">
      <c r="A15" s="12" t="s">
        <v>30</v>
      </c>
      <c r="B15" s="19" t="s">
        <v>22</v>
      </c>
      <c r="C15" s="6">
        <v>12</v>
      </c>
      <c r="D15" s="28" t="s">
        <v>51</v>
      </c>
      <c r="E15" s="38">
        <f>11917.5+9000</f>
        <v>20917.5</v>
      </c>
      <c r="F15" s="38">
        <f>1057+1380</f>
        <v>2437</v>
      </c>
      <c r="G15" s="38"/>
      <c r="H15" s="40" t="s">
        <v>15</v>
      </c>
      <c r="I15" s="40">
        <f>400+305</f>
        <v>705</v>
      </c>
      <c r="J15" s="40">
        <f>151+108</f>
        <v>259</v>
      </c>
      <c r="K15" s="41">
        <v>3778799</v>
      </c>
      <c r="L15" s="41">
        <f t="shared" si="0"/>
        <v>3718306</v>
      </c>
      <c r="M15" s="41">
        <f>687+23914+179+1212+901+31667+251+1028+654</f>
        <v>60493</v>
      </c>
      <c r="N15" s="42">
        <f t="shared" si="1"/>
        <v>26585887.900000002</v>
      </c>
      <c r="O15" s="42">
        <f t="shared" si="2"/>
        <v>402883.38</v>
      </c>
      <c r="P15" s="43">
        <f t="shared" si="3"/>
        <v>26988771.28</v>
      </c>
      <c r="Q15" s="42">
        <f t="shared" si="4"/>
        <v>4857978.8304</v>
      </c>
      <c r="R15" s="42">
        <f t="shared" si="5"/>
        <v>31846750.110400002</v>
      </c>
      <c r="S15" s="68"/>
      <c r="T15" s="9">
        <v>100</v>
      </c>
    </row>
    <row r="16" spans="1:20" s="20" customFormat="1" ht="47.25">
      <c r="A16" s="22" t="s">
        <v>20</v>
      </c>
      <c r="B16" s="22" t="s">
        <v>27</v>
      </c>
      <c r="C16" s="6">
        <v>13</v>
      </c>
      <c r="D16" s="28" t="s">
        <v>52</v>
      </c>
      <c r="E16" s="38">
        <v>5900</v>
      </c>
      <c r="F16" s="38"/>
      <c r="G16" s="38"/>
      <c r="H16" s="40"/>
      <c r="I16" s="40"/>
      <c r="J16" s="40"/>
      <c r="K16" s="41">
        <v>1165014</v>
      </c>
      <c r="L16" s="41">
        <f t="shared" si="0"/>
        <v>1142809</v>
      </c>
      <c r="M16" s="41">
        <v>22205</v>
      </c>
      <c r="N16" s="42">
        <f t="shared" si="1"/>
        <v>8171084.350000001</v>
      </c>
      <c r="O16" s="42">
        <f t="shared" si="2"/>
        <v>147885.30000000002</v>
      </c>
      <c r="P16" s="43">
        <f t="shared" si="3"/>
        <v>8318969.65</v>
      </c>
      <c r="Q16" s="42">
        <f t="shared" si="4"/>
        <v>1497414.537</v>
      </c>
      <c r="R16" s="45">
        <f t="shared" si="5"/>
        <v>9816384.187</v>
      </c>
      <c r="S16" s="23"/>
      <c r="T16" s="9">
        <v>100</v>
      </c>
    </row>
    <row r="17" spans="1:20" s="20" customFormat="1" ht="31.5">
      <c r="A17" s="9" t="s">
        <v>21</v>
      </c>
      <c r="B17" s="9" t="s">
        <v>22</v>
      </c>
      <c r="C17" s="6">
        <v>14</v>
      </c>
      <c r="D17" s="28" t="s">
        <v>53</v>
      </c>
      <c r="E17" s="38">
        <f>25322+3485+G17</f>
        <v>29219</v>
      </c>
      <c r="F17" s="39">
        <f>2716+952</f>
        <v>3668</v>
      </c>
      <c r="G17" s="38">
        <v>412</v>
      </c>
      <c r="H17" s="44" t="s">
        <v>16</v>
      </c>
      <c r="I17" s="40">
        <f>3873</f>
        <v>3873</v>
      </c>
      <c r="J17" s="40">
        <v>220</v>
      </c>
      <c r="K17" s="46">
        <v>9857123</v>
      </c>
      <c r="L17" s="41">
        <f t="shared" si="0"/>
        <v>9699598</v>
      </c>
      <c r="M17" s="40">
        <v>157525</v>
      </c>
      <c r="N17" s="42">
        <f t="shared" si="1"/>
        <v>69352125.7</v>
      </c>
      <c r="O17" s="42">
        <f t="shared" si="2"/>
        <v>1049116.5</v>
      </c>
      <c r="P17" s="43">
        <f t="shared" si="3"/>
        <v>70401242.2</v>
      </c>
      <c r="Q17" s="42">
        <f t="shared" si="4"/>
        <v>12672223.596</v>
      </c>
      <c r="R17" s="42">
        <f t="shared" si="5"/>
        <v>83073465.796</v>
      </c>
      <c r="S17" s="68" t="s">
        <v>22</v>
      </c>
      <c r="T17" s="9">
        <v>79</v>
      </c>
    </row>
    <row r="18" spans="1:20" s="16" customFormat="1" ht="47.25">
      <c r="A18" s="12" t="s">
        <v>30</v>
      </c>
      <c r="B18" s="12" t="s">
        <v>22</v>
      </c>
      <c r="C18" s="6">
        <v>15</v>
      </c>
      <c r="D18" s="28" t="s">
        <v>54</v>
      </c>
      <c r="E18" s="38">
        <f>26442.9+11103+2160+350</f>
        <v>40055.9</v>
      </c>
      <c r="F18" s="38">
        <v>4050.5</v>
      </c>
      <c r="G18" s="38"/>
      <c r="H18" s="44" t="s">
        <v>32</v>
      </c>
      <c r="I18" s="40">
        <v>2993</v>
      </c>
      <c r="J18" s="40">
        <v>50</v>
      </c>
      <c r="K18" s="41">
        <v>8584516</v>
      </c>
      <c r="L18" s="41">
        <f t="shared" si="0"/>
        <v>8389935</v>
      </c>
      <c r="M18" s="41">
        <v>194581</v>
      </c>
      <c r="N18" s="42">
        <f t="shared" si="1"/>
        <v>59988035.25</v>
      </c>
      <c r="O18" s="42">
        <f t="shared" si="2"/>
        <v>1295909.46</v>
      </c>
      <c r="P18" s="43">
        <f t="shared" si="3"/>
        <v>61283944.71</v>
      </c>
      <c r="Q18" s="42">
        <f t="shared" si="4"/>
        <v>11031110.047799999</v>
      </c>
      <c r="R18" s="42">
        <f t="shared" si="5"/>
        <v>72315054.7578</v>
      </c>
      <c r="S18" s="69"/>
      <c r="T18" s="12">
        <v>90</v>
      </c>
    </row>
    <row r="19" spans="1:20" s="20" customFormat="1" ht="31.5">
      <c r="A19" s="9" t="s">
        <v>21</v>
      </c>
      <c r="B19" s="17" t="s">
        <v>40</v>
      </c>
      <c r="C19" s="6">
        <v>16</v>
      </c>
      <c r="D19" s="28" t="s">
        <v>55</v>
      </c>
      <c r="E19" s="38">
        <v>13280</v>
      </c>
      <c r="F19" s="39"/>
      <c r="G19" s="38"/>
      <c r="H19" s="40" t="s">
        <v>15</v>
      </c>
      <c r="I19" s="40"/>
      <c r="J19" s="40"/>
      <c r="K19" s="41">
        <v>2116890</v>
      </c>
      <c r="L19" s="41">
        <f t="shared" si="0"/>
        <v>2094435</v>
      </c>
      <c r="M19" s="41">
        <v>22455</v>
      </c>
      <c r="N19" s="42">
        <f t="shared" si="1"/>
        <v>14975210.25</v>
      </c>
      <c r="O19" s="42">
        <f t="shared" si="2"/>
        <v>149550.30000000002</v>
      </c>
      <c r="P19" s="43">
        <f t="shared" si="3"/>
        <v>15124760.55</v>
      </c>
      <c r="Q19" s="42">
        <f t="shared" si="4"/>
        <v>2722456.899</v>
      </c>
      <c r="R19" s="42">
        <f t="shared" si="5"/>
        <v>17847217.449</v>
      </c>
      <c r="S19" s="66" t="s">
        <v>24</v>
      </c>
      <c r="T19" s="9">
        <v>100</v>
      </c>
    </row>
    <row r="20" spans="1:20" s="20" customFormat="1" ht="31.5">
      <c r="A20" s="9" t="s">
        <v>19</v>
      </c>
      <c r="B20" s="17" t="s">
        <v>29</v>
      </c>
      <c r="C20" s="6">
        <v>17</v>
      </c>
      <c r="D20" s="28" t="s">
        <v>56</v>
      </c>
      <c r="E20" s="38">
        <v>6600</v>
      </c>
      <c r="F20" s="38"/>
      <c r="G20" s="38"/>
      <c r="H20" s="40"/>
      <c r="I20" s="40"/>
      <c r="J20" s="40"/>
      <c r="K20" s="41">
        <v>506352</v>
      </c>
      <c r="L20" s="41">
        <f t="shared" si="0"/>
        <v>498381</v>
      </c>
      <c r="M20" s="41">
        <v>7971</v>
      </c>
      <c r="N20" s="42">
        <f t="shared" si="1"/>
        <v>3563424.1500000004</v>
      </c>
      <c r="O20" s="42">
        <f t="shared" si="2"/>
        <v>53086.86</v>
      </c>
      <c r="P20" s="43">
        <f t="shared" si="3"/>
        <v>3616511.0100000002</v>
      </c>
      <c r="Q20" s="42">
        <f t="shared" si="4"/>
        <v>650971.9818000001</v>
      </c>
      <c r="R20" s="45">
        <f t="shared" si="5"/>
        <v>4267482.9918</v>
      </c>
      <c r="S20" s="66" t="s">
        <v>33</v>
      </c>
      <c r="T20" s="9">
        <v>87</v>
      </c>
    </row>
    <row r="21" spans="1:20" s="20" customFormat="1" ht="31.5">
      <c r="A21" s="9" t="s">
        <v>18</v>
      </c>
      <c r="B21" s="17" t="s">
        <v>39</v>
      </c>
      <c r="C21" s="6">
        <v>18</v>
      </c>
      <c r="D21" s="28" t="s">
        <v>57</v>
      </c>
      <c r="E21" s="38">
        <v>7382</v>
      </c>
      <c r="F21" s="38"/>
      <c r="G21" s="38"/>
      <c r="H21" s="44" t="s">
        <v>38</v>
      </c>
      <c r="I21" s="40">
        <v>140</v>
      </c>
      <c r="J21" s="40"/>
      <c r="K21" s="41">
        <v>1037368</v>
      </c>
      <c r="L21" s="41">
        <f t="shared" si="0"/>
        <v>1021004</v>
      </c>
      <c r="M21" s="41">
        <f>315+16049</f>
        <v>16364</v>
      </c>
      <c r="N21" s="42">
        <f t="shared" si="1"/>
        <v>7300178.600000001</v>
      </c>
      <c r="O21" s="42">
        <f t="shared" si="2"/>
        <v>108984.24</v>
      </c>
      <c r="P21" s="43">
        <f t="shared" si="3"/>
        <v>7409162.840000001</v>
      </c>
      <c r="Q21" s="42">
        <f t="shared" si="4"/>
        <v>1333649.3112</v>
      </c>
      <c r="R21" s="42">
        <f t="shared" si="5"/>
        <v>8742812.1512</v>
      </c>
      <c r="S21" s="66" t="s">
        <v>24</v>
      </c>
      <c r="T21" s="9">
        <v>100</v>
      </c>
    </row>
    <row r="22" spans="1:20" ht="15.75">
      <c r="A22" s="8" t="s">
        <v>18</v>
      </c>
      <c r="B22" s="17" t="s">
        <v>27</v>
      </c>
      <c r="C22" s="6">
        <v>19</v>
      </c>
      <c r="D22" s="28" t="s">
        <v>70</v>
      </c>
      <c r="E22" s="38">
        <f>79488.3+958</f>
        <v>80446.3</v>
      </c>
      <c r="F22" s="38">
        <v>4521.7</v>
      </c>
      <c r="G22" s="38"/>
      <c r="H22" s="40" t="s">
        <v>15</v>
      </c>
      <c r="I22" s="40">
        <v>11892.4</v>
      </c>
      <c r="J22" s="40">
        <v>194</v>
      </c>
      <c r="K22" s="41">
        <v>16448956</v>
      </c>
      <c r="L22" s="41">
        <f t="shared" si="0"/>
        <v>16204108</v>
      </c>
      <c r="M22" s="41">
        <f>26795+213759+322+3972</f>
        <v>244848</v>
      </c>
      <c r="N22" s="42">
        <f t="shared" si="1"/>
        <v>115859372.2</v>
      </c>
      <c r="O22" s="42">
        <f t="shared" si="2"/>
        <v>1630687.68</v>
      </c>
      <c r="P22" s="43">
        <f t="shared" si="3"/>
        <v>117490059.88000001</v>
      </c>
      <c r="Q22" s="42">
        <f t="shared" si="4"/>
        <v>21148210.7784</v>
      </c>
      <c r="R22" s="42">
        <f t="shared" si="5"/>
        <v>138638270.6584</v>
      </c>
      <c r="S22" s="67" t="s">
        <v>23</v>
      </c>
      <c r="T22" s="9">
        <v>100</v>
      </c>
    </row>
    <row r="23" spans="1:20" s="20" customFormat="1" ht="47.25">
      <c r="A23" s="12" t="s">
        <v>30</v>
      </c>
      <c r="B23" s="9" t="s">
        <v>27</v>
      </c>
      <c r="C23" s="6">
        <v>20</v>
      </c>
      <c r="D23" s="28" t="s">
        <v>58</v>
      </c>
      <c r="E23" s="38">
        <v>6600</v>
      </c>
      <c r="F23" s="38"/>
      <c r="G23" s="38"/>
      <c r="H23" s="40" t="s">
        <v>15</v>
      </c>
      <c r="I23" s="40">
        <v>1560</v>
      </c>
      <c r="J23" s="40"/>
      <c r="K23" s="41">
        <v>1352427</v>
      </c>
      <c r="L23" s="41">
        <f t="shared" si="0"/>
        <v>1331375</v>
      </c>
      <c r="M23" s="41">
        <f>3515+17537</f>
        <v>21052</v>
      </c>
      <c r="N23" s="42">
        <f t="shared" si="1"/>
        <v>9519331.25</v>
      </c>
      <c r="O23" s="42">
        <f t="shared" si="2"/>
        <v>140206.32</v>
      </c>
      <c r="P23" s="43">
        <f t="shared" si="3"/>
        <v>9659537.57</v>
      </c>
      <c r="Q23" s="42">
        <f t="shared" si="4"/>
        <v>1738716.7626</v>
      </c>
      <c r="R23" s="42">
        <f t="shared" si="5"/>
        <v>11398254.332600001</v>
      </c>
      <c r="S23" s="66"/>
      <c r="T23" s="9">
        <v>100</v>
      </c>
    </row>
    <row r="24" spans="1:20" s="20" customFormat="1" ht="21" customHeight="1">
      <c r="A24" s="9" t="s">
        <v>20</v>
      </c>
      <c r="B24" s="19" t="s">
        <v>22</v>
      </c>
      <c r="C24" s="6">
        <v>21</v>
      </c>
      <c r="D24" s="28" t="s">
        <v>59</v>
      </c>
      <c r="E24" s="38">
        <v>8596.8</v>
      </c>
      <c r="F24" s="38"/>
      <c r="G24" s="38"/>
      <c r="H24" s="40" t="s">
        <v>15</v>
      </c>
      <c r="I24" s="40">
        <v>881</v>
      </c>
      <c r="J24" s="40"/>
      <c r="K24" s="41">
        <v>1543203</v>
      </c>
      <c r="L24" s="41">
        <f t="shared" si="0"/>
        <v>1518374</v>
      </c>
      <c r="M24" s="41">
        <f>1985+22844</f>
        <v>24829</v>
      </c>
      <c r="N24" s="42">
        <f t="shared" si="1"/>
        <v>10856374.1</v>
      </c>
      <c r="O24" s="42">
        <f t="shared" si="2"/>
        <v>165361.14</v>
      </c>
      <c r="P24" s="43">
        <f t="shared" si="3"/>
        <v>11021735.24</v>
      </c>
      <c r="Q24" s="42">
        <f t="shared" si="4"/>
        <v>1983912.3432</v>
      </c>
      <c r="R24" s="42">
        <f t="shared" si="5"/>
        <v>13005647.5832</v>
      </c>
      <c r="S24" s="21" t="e">
        <f>#REF!+#REF!+P22+P3</f>
        <v>#REF!</v>
      </c>
      <c r="T24" s="9">
        <v>92</v>
      </c>
    </row>
    <row r="25" spans="1:20" s="20" customFormat="1" ht="30.75" customHeight="1">
      <c r="A25" s="9" t="s">
        <v>20</v>
      </c>
      <c r="B25" s="19" t="s">
        <v>27</v>
      </c>
      <c r="C25" s="6">
        <v>22</v>
      </c>
      <c r="D25" s="28" t="s">
        <v>60</v>
      </c>
      <c r="E25" s="38">
        <f>32197+2152</f>
        <v>34349</v>
      </c>
      <c r="F25" s="38">
        <v>4069</v>
      </c>
      <c r="G25" s="38"/>
      <c r="H25" s="40" t="s">
        <v>15</v>
      </c>
      <c r="I25" s="40">
        <v>3363</v>
      </c>
      <c r="J25" s="40">
        <v>1718</v>
      </c>
      <c r="K25" s="41">
        <v>6967694</v>
      </c>
      <c r="L25" s="41">
        <f t="shared" si="0"/>
        <v>6862420</v>
      </c>
      <c r="M25" s="41">
        <f>7577+85553+5718+2852+3574</f>
        <v>105274</v>
      </c>
      <c r="N25" s="42">
        <f t="shared" si="1"/>
        <v>49066303</v>
      </c>
      <c r="O25" s="42">
        <f t="shared" si="2"/>
        <v>701124.84</v>
      </c>
      <c r="P25" s="43">
        <f t="shared" si="3"/>
        <v>49767427.84</v>
      </c>
      <c r="Q25" s="42">
        <f t="shared" si="4"/>
        <v>8958137.0112</v>
      </c>
      <c r="R25" s="42">
        <f t="shared" si="5"/>
        <v>58725564.8512</v>
      </c>
      <c r="T25" s="9">
        <v>100</v>
      </c>
    </row>
    <row r="26" spans="1:20" s="20" customFormat="1" ht="30.75" customHeight="1">
      <c r="A26" s="9" t="s">
        <v>20</v>
      </c>
      <c r="B26" s="19" t="s">
        <v>27</v>
      </c>
      <c r="C26" s="6">
        <v>23</v>
      </c>
      <c r="D26" s="28" t="s">
        <v>61</v>
      </c>
      <c r="E26" s="38">
        <v>9666.6</v>
      </c>
      <c r="F26" s="38">
        <v>1626.4</v>
      </c>
      <c r="G26" s="38"/>
      <c r="H26" s="40" t="s">
        <v>15</v>
      </c>
      <c r="I26" s="40">
        <v>1311</v>
      </c>
      <c r="J26" s="40"/>
      <c r="K26" s="41">
        <v>1982714</v>
      </c>
      <c r="L26" s="41">
        <f t="shared" si="0"/>
        <v>1952645</v>
      </c>
      <c r="M26" s="41">
        <f>2954+25686+1429</f>
        <v>30069</v>
      </c>
      <c r="N26" s="42">
        <f t="shared" si="1"/>
        <v>13961411.75</v>
      </c>
      <c r="O26" s="42">
        <f t="shared" si="2"/>
        <v>200259.54</v>
      </c>
      <c r="P26" s="43">
        <f t="shared" si="3"/>
        <v>14161671.29</v>
      </c>
      <c r="Q26" s="42">
        <f t="shared" si="4"/>
        <v>2549100.8321999996</v>
      </c>
      <c r="R26" s="42">
        <f t="shared" si="5"/>
        <v>16710772.1222</v>
      </c>
      <c r="T26" s="9">
        <v>100</v>
      </c>
    </row>
    <row r="27" spans="1:20" s="20" customFormat="1" ht="30" customHeight="1">
      <c r="A27" s="9" t="s">
        <v>21</v>
      </c>
      <c r="B27" s="19" t="s">
        <v>22</v>
      </c>
      <c r="C27" s="6">
        <v>24</v>
      </c>
      <c r="D27" s="28" t="s">
        <v>62</v>
      </c>
      <c r="E27" s="38">
        <f>20233+G27</f>
        <v>20413</v>
      </c>
      <c r="F27" s="38">
        <v>365</v>
      </c>
      <c r="G27" s="38">
        <v>180</v>
      </c>
      <c r="H27" s="40" t="s">
        <v>15</v>
      </c>
      <c r="I27" s="40">
        <v>2296</v>
      </c>
      <c r="J27" s="40">
        <v>185</v>
      </c>
      <c r="K27" s="41">
        <v>4135016</v>
      </c>
      <c r="L27" s="41">
        <f t="shared" si="0"/>
        <v>4073029</v>
      </c>
      <c r="M27" s="41">
        <f>5173+53762+593+2459</f>
        <v>61987</v>
      </c>
      <c r="N27" s="42">
        <f t="shared" si="1"/>
        <v>29122157.35</v>
      </c>
      <c r="O27" s="42">
        <f t="shared" si="2"/>
        <v>412833.42</v>
      </c>
      <c r="P27" s="43">
        <f t="shared" si="3"/>
        <v>29534990.770000003</v>
      </c>
      <c r="Q27" s="42">
        <f t="shared" si="4"/>
        <v>5316298.3386</v>
      </c>
      <c r="R27" s="42">
        <f t="shared" si="5"/>
        <v>34851289.108600006</v>
      </c>
      <c r="S27" s="68" t="s">
        <v>22</v>
      </c>
      <c r="T27" s="9">
        <v>100</v>
      </c>
    </row>
    <row r="28" spans="1:20" s="20" customFormat="1" ht="31.5">
      <c r="A28" s="9" t="s">
        <v>19</v>
      </c>
      <c r="B28" s="9" t="s">
        <v>23</v>
      </c>
      <c r="C28" s="6">
        <v>25</v>
      </c>
      <c r="D28" s="28" t="s">
        <v>63</v>
      </c>
      <c r="E28" s="38">
        <f>3004+G28</f>
        <v>3084</v>
      </c>
      <c r="F28" s="38"/>
      <c r="G28" s="38">
        <v>80</v>
      </c>
      <c r="H28" s="40" t="s">
        <v>15</v>
      </c>
      <c r="I28" s="40">
        <v>511</v>
      </c>
      <c r="J28" s="40"/>
      <c r="K28" s="41">
        <v>602854</v>
      </c>
      <c r="L28" s="41">
        <f t="shared" si="0"/>
        <v>593457</v>
      </c>
      <c r="M28" s="41">
        <f>1151+7982+264</f>
        <v>9397</v>
      </c>
      <c r="N28" s="42">
        <f t="shared" si="1"/>
        <v>4243217.55</v>
      </c>
      <c r="O28" s="42">
        <f t="shared" si="2"/>
        <v>62584.020000000004</v>
      </c>
      <c r="P28" s="43">
        <f t="shared" si="3"/>
        <v>4305801.569999999</v>
      </c>
      <c r="Q28" s="42">
        <f t="shared" si="4"/>
        <v>775044.2825999998</v>
      </c>
      <c r="R28" s="42">
        <f t="shared" si="5"/>
        <v>5080845.852599999</v>
      </c>
      <c r="S28" s="70" t="s">
        <v>23</v>
      </c>
      <c r="T28" s="9">
        <v>100</v>
      </c>
    </row>
    <row r="29" spans="1:20" s="20" customFormat="1" ht="31.5">
      <c r="A29" s="12" t="s">
        <v>30</v>
      </c>
      <c r="B29" s="19" t="s">
        <v>22</v>
      </c>
      <c r="C29" s="6">
        <v>26</v>
      </c>
      <c r="D29" s="28" t="s">
        <v>64</v>
      </c>
      <c r="E29" s="38">
        <v>1962</v>
      </c>
      <c r="F29" s="38"/>
      <c r="G29" s="38"/>
      <c r="H29" s="40" t="s">
        <v>15</v>
      </c>
      <c r="I29" s="40">
        <v>654</v>
      </c>
      <c r="J29" s="40"/>
      <c r="K29" s="41">
        <v>463585</v>
      </c>
      <c r="L29" s="41">
        <f t="shared" si="0"/>
        <v>462111</v>
      </c>
      <c r="M29" s="41">
        <v>1474</v>
      </c>
      <c r="N29" s="42">
        <f t="shared" si="1"/>
        <v>3304093.6500000004</v>
      </c>
      <c r="O29" s="42">
        <f t="shared" si="2"/>
        <v>9816.84</v>
      </c>
      <c r="P29" s="43">
        <f t="shared" si="3"/>
        <v>3313910.49</v>
      </c>
      <c r="Q29" s="42">
        <f t="shared" si="4"/>
        <v>596503.8882</v>
      </c>
      <c r="R29" s="42">
        <f t="shared" si="5"/>
        <v>3910414.3782</v>
      </c>
      <c r="S29" s="71" t="s">
        <v>22</v>
      </c>
      <c r="T29" s="9">
        <v>100</v>
      </c>
    </row>
    <row r="30" spans="1:20" s="20" customFormat="1" ht="15.75">
      <c r="A30" s="9" t="s">
        <v>21</v>
      </c>
      <c r="B30" s="9" t="s">
        <v>23</v>
      </c>
      <c r="C30" s="6">
        <v>27</v>
      </c>
      <c r="D30" s="28" t="s">
        <v>65</v>
      </c>
      <c r="E30" s="38">
        <v>2785</v>
      </c>
      <c r="F30" s="39"/>
      <c r="G30" s="38"/>
      <c r="H30" s="44" t="s">
        <v>34</v>
      </c>
      <c r="I30" s="40"/>
      <c r="J30" s="40">
        <v>20</v>
      </c>
      <c r="K30" s="41">
        <v>333862</v>
      </c>
      <c r="L30" s="41">
        <f t="shared" si="0"/>
        <v>329120</v>
      </c>
      <c r="M30" s="40">
        <f>4709+33</f>
        <v>4742</v>
      </c>
      <c r="N30" s="42">
        <f t="shared" si="1"/>
        <v>2353208</v>
      </c>
      <c r="O30" s="42">
        <f t="shared" si="2"/>
        <v>31581.72</v>
      </c>
      <c r="P30" s="43">
        <f t="shared" si="3"/>
        <v>2384789.72</v>
      </c>
      <c r="Q30" s="42">
        <f t="shared" si="4"/>
        <v>429262.1496</v>
      </c>
      <c r="R30" s="42">
        <f t="shared" si="5"/>
        <v>2814051.8696000003</v>
      </c>
      <c r="S30" s="71"/>
      <c r="T30" s="9">
        <v>100</v>
      </c>
    </row>
    <row r="31" spans="1:20" s="20" customFormat="1" ht="31.5">
      <c r="A31" s="9" t="s">
        <v>19</v>
      </c>
      <c r="B31" s="19" t="s">
        <v>27</v>
      </c>
      <c r="C31" s="6">
        <v>28</v>
      </c>
      <c r="D31" s="28" t="s">
        <v>83</v>
      </c>
      <c r="E31" s="35">
        <v>2226.84</v>
      </c>
      <c r="F31" s="47"/>
      <c r="G31" s="47"/>
      <c r="H31" s="44"/>
      <c r="I31" s="40"/>
      <c r="J31" s="40"/>
      <c r="K31" s="57">
        <f>L31+M31</f>
        <v>360109</v>
      </c>
      <c r="L31" s="41">
        <v>356609</v>
      </c>
      <c r="M31" s="40">
        <v>3500</v>
      </c>
      <c r="N31" s="42">
        <f>P31-O31</f>
        <v>2549754</v>
      </c>
      <c r="O31" s="42">
        <f t="shared" si="2"/>
        <v>23310</v>
      </c>
      <c r="P31" s="43">
        <f>R31-Q31</f>
        <v>2573064</v>
      </c>
      <c r="Q31" s="44">
        <v>463151.52</v>
      </c>
      <c r="R31" s="62">
        <v>3036215.52</v>
      </c>
      <c r="S31" s="71" t="s">
        <v>27</v>
      </c>
      <c r="T31" s="9">
        <v>100</v>
      </c>
    </row>
    <row r="32" spans="1:20" s="20" customFormat="1" ht="31.5">
      <c r="A32" s="9" t="s">
        <v>21</v>
      </c>
      <c r="B32" s="17" t="s">
        <v>27</v>
      </c>
      <c r="C32" s="6">
        <v>29</v>
      </c>
      <c r="D32" s="28" t="s">
        <v>73</v>
      </c>
      <c r="E32" s="35">
        <v>3500</v>
      </c>
      <c r="F32" s="31">
        <v>1000</v>
      </c>
      <c r="G32" s="47"/>
      <c r="H32" s="44"/>
      <c r="I32" s="40"/>
      <c r="J32" s="40"/>
      <c r="K32" s="41">
        <v>665373</v>
      </c>
      <c r="L32" s="41">
        <f aca="true" t="shared" si="6" ref="L32:L46">K32-M32</f>
        <v>656880</v>
      </c>
      <c r="M32" s="40">
        <v>8493</v>
      </c>
      <c r="N32" s="42">
        <v>4696692.62</v>
      </c>
      <c r="O32" s="42">
        <f t="shared" si="2"/>
        <v>56563.380000000005</v>
      </c>
      <c r="P32" s="43">
        <v>4753255</v>
      </c>
      <c r="Q32" s="58">
        <v>855585.9</v>
      </c>
      <c r="R32" s="62">
        <v>5608840.9</v>
      </c>
      <c r="S32" s="70" t="s">
        <v>23</v>
      </c>
      <c r="T32" s="9">
        <v>100</v>
      </c>
    </row>
    <row r="33" spans="1:20" s="16" customFormat="1" ht="31.5">
      <c r="A33" s="12"/>
      <c r="B33" s="13"/>
      <c r="C33" s="6">
        <v>30</v>
      </c>
      <c r="D33" s="28" t="s">
        <v>74</v>
      </c>
      <c r="E33" s="35">
        <v>1005</v>
      </c>
      <c r="F33" s="31">
        <v>252</v>
      </c>
      <c r="G33" s="47"/>
      <c r="H33" s="44"/>
      <c r="I33" s="40"/>
      <c r="J33" s="40"/>
      <c r="K33" s="41">
        <v>237868</v>
      </c>
      <c r="L33" s="41">
        <f t="shared" si="6"/>
        <v>228382</v>
      </c>
      <c r="M33" s="40">
        <v>9486</v>
      </c>
      <c r="N33" s="42">
        <v>1632931.26</v>
      </c>
      <c r="O33" s="42">
        <f>M33*6.66-0.02</f>
        <v>63176.740000000005</v>
      </c>
      <c r="P33" s="43">
        <f>R33-Q33</f>
        <v>1696108</v>
      </c>
      <c r="Q33" s="59">
        <v>305299.44</v>
      </c>
      <c r="R33" s="63">
        <v>2001407.44</v>
      </c>
      <c r="S33" s="72"/>
      <c r="T33" s="9">
        <v>100</v>
      </c>
    </row>
    <row r="34" spans="1:20" s="20" customFormat="1" ht="31.5">
      <c r="A34" s="9"/>
      <c r="B34" s="17"/>
      <c r="C34" s="6">
        <v>31</v>
      </c>
      <c r="D34" s="36" t="s">
        <v>75</v>
      </c>
      <c r="E34" s="33">
        <v>3502.3</v>
      </c>
      <c r="F34" s="37"/>
      <c r="G34" s="47"/>
      <c r="H34" s="44"/>
      <c r="I34" s="40"/>
      <c r="J34" s="40"/>
      <c r="K34" s="41">
        <v>682190</v>
      </c>
      <c r="L34" s="41">
        <f t="shared" si="6"/>
        <v>667976</v>
      </c>
      <c r="M34" s="40">
        <v>14214</v>
      </c>
      <c r="N34" s="42">
        <v>4776027.76</v>
      </c>
      <c r="O34" s="42">
        <f aca="true" t="shared" si="7" ref="O34:O46">M34*6.66</f>
        <v>94665.24</v>
      </c>
      <c r="P34" s="43">
        <v>4870693</v>
      </c>
      <c r="Q34" s="59">
        <v>876724.74</v>
      </c>
      <c r="R34" s="63">
        <v>5747417.74</v>
      </c>
      <c r="S34" s="70"/>
      <c r="T34" s="9">
        <v>50</v>
      </c>
    </row>
    <row r="35" spans="1:20" s="20" customFormat="1" ht="31.5">
      <c r="A35" s="9"/>
      <c r="B35" s="17"/>
      <c r="C35" s="6">
        <v>32</v>
      </c>
      <c r="D35" s="32" t="s">
        <v>69</v>
      </c>
      <c r="E35" s="47"/>
      <c r="F35" s="31">
        <v>362.5</v>
      </c>
      <c r="G35" s="33"/>
      <c r="H35" s="44"/>
      <c r="I35" s="40"/>
      <c r="J35" s="40"/>
      <c r="K35" s="41">
        <v>117542</v>
      </c>
      <c r="L35" s="41">
        <f t="shared" si="6"/>
        <v>117542</v>
      </c>
      <c r="M35" s="40">
        <v>0</v>
      </c>
      <c r="N35" s="42">
        <f>L35*7.15-0.3</f>
        <v>840425</v>
      </c>
      <c r="O35" s="42">
        <f t="shared" si="7"/>
        <v>0</v>
      </c>
      <c r="P35" s="43">
        <f>N35+O35</f>
        <v>840425</v>
      </c>
      <c r="Q35" s="59">
        <f>P35*0.18</f>
        <v>151276.5</v>
      </c>
      <c r="R35" s="62">
        <v>991701.5</v>
      </c>
      <c r="S35" s="70"/>
      <c r="T35" s="9">
        <v>100</v>
      </c>
    </row>
    <row r="36" spans="1:20" s="20" customFormat="1" ht="31.5">
      <c r="A36" s="9"/>
      <c r="B36" s="17"/>
      <c r="C36" s="6">
        <v>33</v>
      </c>
      <c r="D36" s="32" t="s">
        <v>68</v>
      </c>
      <c r="E36" s="47"/>
      <c r="F36" s="31">
        <v>320</v>
      </c>
      <c r="G36" s="30"/>
      <c r="H36" s="44"/>
      <c r="I36" s="40"/>
      <c r="J36" s="40"/>
      <c r="K36" s="41">
        <v>45879</v>
      </c>
      <c r="L36" s="41">
        <f t="shared" si="6"/>
        <v>45659</v>
      </c>
      <c r="M36" s="40">
        <v>220</v>
      </c>
      <c r="N36" s="42">
        <f>L36*7.15-0.05</f>
        <v>326461.80000000005</v>
      </c>
      <c r="O36" s="42">
        <f t="shared" si="7"/>
        <v>1465.2</v>
      </c>
      <c r="P36" s="43">
        <v>327927</v>
      </c>
      <c r="Q36" s="59">
        <v>59026.86</v>
      </c>
      <c r="R36" s="64">
        <v>386953.86</v>
      </c>
      <c r="S36" s="70"/>
      <c r="T36" s="9">
        <v>100</v>
      </c>
    </row>
    <row r="37" spans="1:20" s="20" customFormat="1" ht="31.5">
      <c r="A37" s="9"/>
      <c r="B37" s="17"/>
      <c r="C37" s="6">
        <v>34</v>
      </c>
      <c r="D37" s="32" t="s">
        <v>67</v>
      </c>
      <c r="E37" s="47"/>
      <c r="F37" s="31">
        <v>1729</v>
      </c>
      <c r="G37" s="30"/>
      <c r="H37" s="44"/>
      <c r="I37" s="40"/>
      <c r="J37" s="40"/>
      <c r="K37" s="41">
        <v>206048</v>
      </c>
      <c r="L37" s="41">
        <f t="shared" si="6"/>
        <v>203952</v>
      </c>
      <c r="M37" s="40">
        <v>2096</v>
      </c>
      <c r="N37" s="42">
        <v>1458256.64</v>
      </c>
      <c r="O37" s="42">
        <f t="shared" si="7"/>
        <v>13959.36</v>
      </c>
      <c r="P37" s="43">
        <v>1472216</v>
      </c>
      <c r="Q37" s="59">
        <v>264998.88</v>
      </c>
      <c r="R37" s="64">
        <v>1737214.88</v>
      </c>
      <c r="S37" s="70"/>
      <c r="T37" s="9">
        <v>100</v>
      </c>
    </row>
    <row r="38" spans="1:20" s="20" customFormat="1" ht="31.5">
      <c r="A38" s="9"/>
      <c r="B38" s="17"/>
      <c r="C38" s="6">
        <v>35</v>
      </c>
      <c r="D38" s="32" t="s">
        <v>66</v>
      </c>
      <c r="E38" s="47"/>
      <c r="F38" s="31">
        <v>1115</v>
      </c>
      <c r="G38" s="30"/>
      <c r="H38" s="44"/>
      <c r="I38" s="40"/>
      <c r="J38" s="40"/>
      <c r="K38" s="41">
        <v>152158</v>
      </c>
      <c r="L38" s="41">
        <f t="shared" si="6"/>
        <v>150571</v>
      </c>
      <c r="M38" s="40">
        <v>1587</v>
      </c>
      <c r="N38" s="42">
        <f>L38*7.15-0.01</f>
        <v>1076582.6400000001</v>
      </c>
      <c r="O38" s="42">
        <f t="shared" si="7"/>
        <v>10569.42</v>
      </c>
      <c r="P38" s="43">
        <v>1087152.01</v>
      </c>
      <c r="Q38" s="59">
        <v>195687.35</v>
      </c>
      <c r="R38" s="64">
        <v>1282839.36</v>
      </c>
      <c r="S38" s="70"/>
      <c r="T38" s="9">
        <v>50</v>
      </c>
    </row>
    <row r="39" spans="1:20" s="20" customFormat="1" ht="31.5">
      <c r="A39" s="9"/>
      <c r="B39" s="17"/>
      <c r="C39" s="6">
        <v>36</v>
      </c>
      <c r="D39" s="28" t="s">
        <v>71</v>
      </c>
      <c r="E39" s="47"/>
      <c r="F39" s="31">
        <v>250</v>
      </c>
      <c r="G39" s="47"/>
      <c r="H39" s="44"/>
      <c r="I39" s="40"/>
      <c r="J39" s="40"/>
      <c r="K39" s="41">
        <v>33557</v>
      </c>
      <c r="L39" s="41">
        <f t="shared" si="6"/>
        <v>33490</v>
      </c>
      <c r="M39" s="40">
        <v>67</v>
      </c>
      <c r="N39" s="42">
        <v>239453.78</v>
      </c>
      <c r="O39" s="42">
        <f t="shared" si="7"/>
        <v>446.22</v>
      </c>
      <c r="P39" s="43">
        <v>239900</v>
      </c>
      <c r="Q39" s="60">
        <f>P39*0.18+0.05</f>
        <v>43182.05</v>
      </c>
      <c r="R39" s="62">
        <v>283082</v>
      </c>
      <c r="S39" s="70"/>
      <c r="T39" s="9">
        <v>50</v>
      </c>
    </row>
    <row r="40" spans="1:20" s="20" customFormat="1" ht="31.5">
      <c r="A40" s="9"/>
      <c r="B40" s="17"/>
      <c r="C40" s="6">
        <v>37</v>
      </c>
      <c r="D40" s="28" t="s">
        <v>72</v>
      </c>
      <c r="E40" s="47"/>
      <c r="F40" s="31">
        <v>1215</v>
      </c>
      <c r="G40" s="47"/>
      <c r="H40" s="44"/>
      <c r="I40" s="40"/>
      <c r="J40" s="40"/>
      <c r="K40" s="41">
        <v>124266</v>
      </c>
      <c r="L40" s="41">
        <f t="shared" si="6"/>
        <v>123519</v>
      </c>
      <c r="M40" s="40">
        <v>747</v>
      </c>
      <c r="N40" s="42">
        <v>883160.98</v>
      </c>
      <c r="O40" s="42">
        <f t="shared" si="7"/>
        <v>4975.02</v>
      </c>
      <c r="P40" s="43">
        <v>888136</v>
      </c>
      <c r="Q40" s="59">
        <f>P40*0.18+0.02</f>
        <v>159864.49999999997</v>
      </c>
      <c r="R40" s="62">
        <v>1048000.48</v>
      </c>
      <c r="S40" s="70"/>
      <c r="T40" s="9">
        <v>100</v>
      </c>
    </row>
    <row r="41" spans="1:20" s="20" customFormat="1" ht="47.25">
      <c r="A41" s="9"/>
      <c r="B41" s="17"/>
      <c r="C41" s="6">
        <v>38</v>
      </c>
      <c r="D41" s="28" t="s">
        <v>76</v>
      </c>
      <c r="E41" s="47"/>
      <c r="F41" s="31">
        <v>368</v>
      </c>
      <c r="G41" s="47"/>
      <c r="H41" s="44"/>
      <c r="I41" s="40"/>
      <c r="J41" s="40"/>
      <c r="K41" s="41">
        <v>109716</v>
      </c>
      <c r="L41" s="41">
        <f t="shared" si="6"/>
        <v>109076</v>
      </c>
      <c r="M41" s="40">
        <v>640</v>
      </c>
      <c r="N41" s="42">
        <v>779892.6</v>
      </c>
      <c r="O41" s="42">
        <f t="shared" si="7"/>
        <v>4262.4</v>
      </c>
      <c r="P41" s="43">
        <v>784155</v>
      </c>
      <c r="Q41" s="59">
        <v>141147.9</v>
      </c>
      <c r="R41" s="62">
        <v>925302.9</v>
      </c>
      <c r="S41" s="70"/>
      <c r="T41" s="9">
        <v>100</v>
      </c>
    </row>
    <row r="42" spans="1:20" s="20" customFormat="1" ht="31.5">
      <c r="A42" s="9"/>
      <c r="B42" s="17"/>
      <c r="C42" s="6">
        <v>39</v>
      </c>
      <c r="D42" s="28" t="s">
        <v>77</v>
      </c>
      <c r="E42" s="47"/>
      <c r="F42" s="31">
        <v>700</v>
      </c>
      <c r="G42" s="47"/>
      <c r="H42" s="44"/>
      <c r="I42" s="40"/>
      <c r="J42" s="40"/>
      <c r="K42" s="41">
        <v>90643</v>
      </c>
      <c r="L42" s="41">
        <f t="shared" si="6"/>
        <v>90336</v>
      </c>
      <c r="M42" s="40">
        <v>307</v>
      </c>
      <c r="N42" s="42">
        <f>L42*7.15</f>
        <v>645902.4</v>
      </c>
      <c r="O42" s="42">
        <f t="shared" si="7"/>
        <v>2044.6200000000001</v>
      </c>
      <c r="P42" s="43">
        <f>N42+O42</f>
        <v>647947.02</v>
      </c>
      <c r="Q42" s="59">
        <v>116630.44</v>
      </c>
      <c r="R42" s="62">
        <v>764577.46</v>
      </c>
      <c r="S42" s="70"/>
      <c r="T42" s="9">
        <v>50</v>
      </c>
    </row>
    <row r="43" spans="1:20" s="20" customFormat="1" ht="31.5">
      <c r="A43" s="9"/>
      <c r="B43" s="17"/>
      <c r="C43" s="6">
        <v>40</v>
      </c>
      <c r="D43" s="28" t="s">
        <v>78</v>
      </c>
      <c r="E43" s="47"/>
      <c r="F43" s="31">
        <v>600</v>
      </c>
      <c r="G43" s="47"/>
      <c r="H43" s="44"/>
      <c r="I43" s="40"/>
      <c r="J43" s="40"/>
      <c r="K43" s="41">
        <v>195389</v>
      </c>
      <c r="L43" s="41">
        <f t="shared" si="6"/>
        <v>195389</v>
      </c>
      <c r="M43" s="40">
        <v>0</v>
      </c>
      <c r="N43" s="42">
        <v>1397031</v>
      </c>
      <c r="O43" s="42">
        <f t="shared" si="7"/>
        <v>0</v>
      </c>
      <c r="P43" s="43">
        <f>N43+O43</f>
        <v>1397031</v>
      </c>
      <c r="Q43" s="59">
        <v>251465.58</v>
      </c>
      <c r="R43" s="62">
        <v>1648496.58</v>
      </c>
      <c r="S43" s="70"/>
      <c r="T43" s="9">
        <v>100</v>
      </c>
    </row>
    <row r="44" spans="1:20" s="20" customFormat="1" ht="47.25">
      <c r="A44" s="9"/>
      <c r="B44" s="17"/>
      <c r="C44" s="6">
        <v>41</v>
      </c>
      <c r="D44" s="28" t="s">
        <v>79</v>
      </c>
      <c r="E44" s="47">
        <v>17.7</v>
      </c>
      <c r="F44" s="31">
        <v>1085.51</v>
      </c>
      <c r="G44" s="47"/>
      <c r="H44" s="44"/>
      <c r="I44" s="40"/>
      <c r="J44" s="40"/>
      <c r="K44" s="41">
        <v>125015</v>
      </c>
      <c r="L44" s="41">
        <f t="shared" si="6"/>
        <v>123765</v>
      </c>
      <c r="M44" s="40">
        <v>1250</v>
      </c>
      <c r="N44" s="42">
        <v>884920</v>
      </c>
      <c r="O44" s="42">
        <f t="shared" si="7"/>
        <v>8325</v>
      </c>
      <c r="P44" s="43">
        <v>893245</v>
      </c>
      <c r="Q44" s="58">
        <f>P44*0.18</f>
        <v>160784.1</v>
      </c>
      <c r="R44" s="62">
        <v>1054029.1</v>
      </c>
      <c r="S44" s="70"/>
      <c r="T44" s="9">
        <v>100</v>
      </c>
    </row>
    <row r="45" spans="1:20" s="20" customFormat="1" ht="31.5">
      <c r="A45" s="9"/>
      <c r="B45" s="17"/>
      <c r="C45" s="6">
        <v>42</v>
      </c>
      <c r="D45" s="28" t="s">
        <v>80</v>
      </c>
      <c r="E45" s="47"/>
      <c r="F45" s="31">
        <v>641</v>
      </c>
      <c r="G45" s="47"/>
      <c r="H45" s="44"/>
      <c r="I45" s="40"/>
      <c r="J45" s="40"/>
      <c r="K45" s="41">
        <v>57225</v>
      </c>
      <c r="L45" s="41">
        <f t="shared" si="6"/>
        <v>56662</v>
      </c>
      <c r="M45" s="40">
        <v>563</v>
      </c>
      <c r="N45" s="42">
        <v>405133.46</v>
      </c>
      <c r="O45" s="42">
        <f t="shared" si="7"/>
        <v>3749.58</v>
      </c>
      <c r="P45" s="43">
        <v>408883</v>
      </c>
      <c r="Q45" s="59">
        <v>73598.94</v>
      </c>
      <c r="R45" s="62">
        <v>482481.94</v>
      </c>
      <c r="S45" s="70"/>
      <c r="T45" s="9">
        <v>100</v>
      </c>
    </row>
    <row r="46" spans="1:20" s="20" customFormat="1" ht="31.5">
      <c r="A46" s="9"/>
      <c r="B46" s="17"/>
      <c r="C46" s="6">
        <v>43</v>
      </c>
      <c r="D46" s="28" t="s">
        <v>81</v>
      </c>
      <c r="E46" s="47"/>
      <c r="F46" s="31">
        <v>450</v>
      </c>
      <c r="G46" s="47"/>
      <c r="H46" s="44"/>
      <c r="I46" s="40"/>
      <c r="J46" s="40"/>
      <c r="K46" s="41">
        <v>42752</v>
      </c>
      <c r="L46" s="41">
        <f t="shared" si="6"/>
        <v>42328</v>
      </c>
      <c r="M46" s="40">
        <v>424</v>
      </c>
      <c r="N46" s="42">
        <v>302645.16</v>
      </c>
      <c r="O46" s="42">
        <f t="shared" si="7"/>
        <v>2823.84</v>
      </c>
      <c r="P46" s="61">
        <f>N46+O46</f>
        <v>305469</v>
      </c>
      <c r="Q46" s="59">
        <v>54984.42</v>
      </c>
      <c r="R46" s="62">
        <v>360453.42</v>
      </c>
      <c r="S46" s="70"/>
      <c r="T46" s="9">
        <v>100</v>
      </c>
    </row>
    <row r="47" spans="1:20" s="20" customFormat="1" ht="47.25">
      <c r="A47" s="9"/>
      <c r="B47" s="17"/>
      <c r="C47" s="6">
        <v>44</v>
      </c>
      <c r="D47" s="28" t="s">
        <v>88</v>
      </c>
      <c r="E47" s="47">
        <v>39.62</v>
      </c>
      <c r="F47" s="31">
        <v>2420</v>
      </c>
      <c r="G47" s="47"/>
      <c r="H47" s="44"/>
      <c r="I47" s="40"/>
      <c r="J47" s="40"/>
      <c r="K47" s="41">
        <v>310802</v>
      </c>
      <c r="L47" s="41">
        <v>307621</v>
      </c>
      <c r="M47" s="40">
        <v>3181</v>
      </c>
      <c r="N47" s="42">
        <v>2199488.64</v>
      </c>
      <c r="O47" s="42">
        <v>21185.46</v>
      </c>
      <c r="P47" s="43">
        <v>2220692.1</v>
      </c>
      <c r="Q47" s="59">
        <v>399724.58</v>
      </c>
      <c r="R47" s="65">
        <v>2620416.68</v>
      </c>
      <c r="S47" s="70"/>
      <c r="T47" s="9">
        <v>100</v>
      </c>
    </row>
    <row r="48" spans="1:20" s="20" customFormat="1" ht="31.5">
      <c r="A48" s="9"/>
      <c r="B48" s="17"/>
      <c r="C48" s="6">
        <v>45</v>
      </c>
      <c r="D48" s="28" t="s">
        <v>82</v>
      </c>
      <c r="E48" s="47"/>
      <c r="F48" s="31">
        <v>890</v>
      </c>
      <c r="G48" s="47"/>
      <c r="H48" s="44"/>
      <c r="I48" s="40"/>
      <c r="J48" s="40"/>
      <c r="K48" s="41">
        <v>113462</v>
      </c>
      <c r="L48" s="41">
        <f>K48-M48</f>
        <v>112365</v>
      </c>
      <c r="M48" s="40">
        <v>1097</v>
      </c>
      <c r="N48" s="42">
        <f>L48*7.15</f>
        <v>803409.75</v>
      </c>
      <c r="O48" s="42">
        <f>M48*6.66</f>
        <v>7306.02</v>
      </c>
      <c r="P48" s="43">
        <v>810715.98</v>
      </c>
      <c r="Q48" s="59">
        <f>P48*0.18-0.04</f>
        <v>145928.83639999997</v>
      </c>
      <c r="R48" s="62">
        <v>956644.88</v>
      </c>
      <c r="S48" s="70"/>
      <c r="T48" s="9">
        <v>100</v>
      </c>
    </row>
    <row r="49" spans="1:20" s="20" customFormat="1" ht="15.75">
      <c r="A49" s="9"/>
      <c r="B49" s="17"/>
      <c r="C49" s="6"/>
      <c r="D49" s="27"/>
      <c r="E49" s="48"/>
      <c r="F49" s="49"/>
      <c r="G49" s="48"/>
      <c r="H49" s="50"/>
      <c r="I49" s="51"/>
      <c r="J49" s="51"/>
      <c r="K49" s="52"/>
      <c r="L49" s="52"/>
      <c r="M49" s="53"/>
      <c r="N49" s="54"/>
      <c r="O49" s="54"/>
      <c r="P49" s="55"/>
      <c r="Q49" s="54"/>
      <c r="R49" s="54"/>
      <c r="S49" s="70"/>
      <c r="T49" s="9">
        <v>100</v>
      </c>
    </row>
    <row r="50" spans="1:20" s="20" customFormat="1" ht="15">
      <c r="A50" s="9"/>
      <c r="B50" s="17"/>
      <c r="C50" s="1"/>
      <c r="D50" s="2" t="s">
        <v>3</v>
      </c>
      <c r="E50" s="56">
        <f aca="true" t="shared" si="8" ref="E50:R50">SUM(E4:E48)</f>
        <v>372289.86</v>
      </c>
      <c r="F50" s="56">
        <f t="shared" si="8"/>
        <v>38871.41</v>
      </c>
      <c r="G50" s="56">
        <f t="shared" si="8"/>
        <v>2775</v>
      </c>
      <c r="H50" s="56">
        <f t="shared" si="8"/>
        <v>0</v>
      </c>
      <c r="I50" s="56">
        <f t="shared" si="8"/>
        <v>39273.4</v>
      </c>
      <c r="J50" s="56">
        <f t="shared" si="8"/>
        <v>5693</v>
      </c>
      <c r="K50" s="56">
        <f t="shared" si="8"/>
        <v>79712578</v>
      </c>
      <c r="L50" s="56">
        <f t="shared" si="8"/>
        <v>78091994</v>
      </c>
      <c r="M50" s="56">
        <f t="shared" si="8"/>
        <v>1620584</v>
      </c>
      <c r="N50" s="56">
        <f t="shared" si="8"/>
        <v>558357754.2899998</v>
      </c>
      <c r="O50" s="56">
        <f t="shared" si="8"/>
        <v>10793089.42</v>
      </c>
      <c r="P50" s="56">
        <f t="shared" si="8"/>
        <v>569150860.83</v>
      </c>
      <c r="Q50" s="56">
        <f t="shared" si="8"/>
        <v>102447154.94599998</v>
      </c>
      <c r="R50" s="56">
        <f t="shared" si="8"/>
        <v>671598015.7696003</v>
      </c>
      <c r="S50" s="70"/>
      <c r="T50" s="9">
        <v>100</v>
      </c>
    </row>
    <row r="51" spans="1:20" s="20" customFormat="1" ht="409.5" hidden="1">
      <c r="A51" s="9"/>
      <c r="B51" s="17"/>
      <c r="C51" s="75" t="s">
        <v>87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0"/>
      <c r="T51" s="9"/>
    </row>
    <row r="52" spans="1:20" s="20" customFormat="1" ht="15" hidden="1">
      <c r="A52" s="9"/>
      <c r="B52" s="1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70"/>
      <c r="T52" s="9"/>
    </row>
    <row r="53" spans="1:20" s="20" customFormat="1" ht="15">
      <c r="A53" s="9"/>
      <c r="B53" s="1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70"/>
      <c r="T53" s="9"/>
    </row>
    <row r="54" spans="1:20" ht="15">
      <c r="A54" s="7"/>
      <c r="B54" s="7"/>
      <c r="S54" s="73"/>
      <c r="T54" s="74"/>
    </row>
    <row r="55" spans="19:20" ht="47.25" customHeight="1" hidden="1">
      <c r="S55" s="75"/>
      <c r="T55" s="75"/>
    </row>
  </sheetData>
  <sheetProtection/>
  <mergeCells count="15">
    <mergeCell ref="T12:T13"/>
    <mergeCell ref="J2:J3"/>
    <mergeCell ref="K2:M2"/>
    <mergeCell ref="N2:P2"/>
    <mergeCell ref="T2:T3"/>
    <mergeCell ref="Q2:Q3"/>
    <mergeCell ref="R2:R3"/>
    <mergeCell ref="C1:P1"/>
    <mergeCell ref="C2:C3"/>
    <mergeCell ref="D2:D3"/>
    <mergeCell ref="E2:E3"/>
    <mergeCell ref="F2:F3"/>
    <mergeCell ref="G2:G3"/>
    <mergeCell ref="H2:H3"/>
    <mergeCell ref="I2:I3"/>
  </mergeCells>
  <printOptions/>
  <pageMargins left="0.45" right="0.49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>Presss</cp:lastModifiedBy>
  <cp:lastPrinted>2013-10-29T06:51:24Z</cp:lastPrinted>
  <dcterms:created xsi:type="dcterms:W3CDTF">2012-12-21T08:44:11Z</dcterms:created>
  <dcterms:modified xsi:type="dcterms:W3CDTF">2013-11-12T10:56:07Z</dcterms:modified>
  <cp:category/>
  <cp:version/>
  <cp:contentType/>
  <cp:contentStatus/>
</cp:coreProperties>
</file>