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1" activeTab="20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  <sheet name="Лот 18" sheetId="18" r:id="rId18"/>
    <sheet name="Лот 19" sheetId="19" r:id="rId19"/>
    <sheet name="Лот 20" sheetId="20" r:id="rId20"/>
    <sheet name="Лот 21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10">'Лот 11'!asd</definedName>
    <definedName name="asd" localSheetId="11">'Лот 12'!asd</definedName>
    <definedName name="asd" localSheetId="17">'Лот 18'!asd</definedName>
    <definedName name="asd" localSheetId="18">'Лот 19'!asd</definedName>
    <definedName name="asd" localSheetId="19">'Лот 20'!asd</definedName>
    <definedName name="asd" localSheetId="20">'Лот 21'!asd</definedName>
    <definedName name="asd" localSheetId="4">'Лот 5'!asd</definedName>
    <definedName name="asd" localSheetId="5">'Лот 6'!asd</definedName>
    <definedName name="asd" localSheetId="6">'Лот 7'!asd</definedName>
    <definedName name="asd">[0]!asd</definedName>
    <definedName name="CompOt" localSheetId="10">'Лот 11'!CompOt</definedName>
    <definedName name="CompOt" localSheetId="11">'Лот 12'!CompOt</definedName>
    <definedName name="CompOt" localSheetId="17">'Лот 18'!CompOt</definedName>
    <definedName name="CompOt" localSheetId="18">'Лот 19'!CompOt</definedName>
    <definedName name="CompOt" localSheetId="19">'Лот 20'!CompOt</definedName>
    <definedName name="CompOt" localSheetId="20">'Лот 21'!CompOt</definedName>
    <definedName name="CompOt" localSheetId="4">'Лот 5'!CompOt</definedName>
    <definedName name="CompOt" localSheetId="5">'Лот 6'!CompOt</definedName>
    <definedName name="CompOt" localSheetId="6">'Лот 7'!CompOt</definedName>
    <definedName name="CompOt">[0]!CompOt</definedName>
    <definedName name="CompRas" localSheetId="10">'Лот 11'!CompRas</definedName>
    <definedName name="CompRas" localSheetId="11">'Лот 12'!CompRas</definedName>
    <definedName name="CompRas" localSheetId="17">'Лот 18'!CompRas</definedName>
    <definedName name="CompRas" localSheetId="18">'Лот 19'!CompRas</definedName>
    <definedName name="CompRas" localSheetId="19">'Лот 20'!CompRas</definedName>
    <definedName name="CompRas" localSheetId="20">'Лот 21'!CompRas</definedName>
    <definedName name="CompRas" localSheetId="4">'Лот 5'!CompRas</definedName>
    <definedName name="CompRas" localSheetId="5">'Лот 6'!CompRas</definedName>
    <definedName name="CompRas" localSheetId="6">'Лот 7'!CompRas</definedName>
    <definedName name="CompRas">[0]!CompRas</definedName>
    <definedName name="del">#REF!</definedName>
    <definedName name="ew" localSheetId="10">'Лот 11'!ew</definedName>
    <definedName name="ew" localSheetId="11">'Лот 12'!ew</definedName>
    <definedName name="ew" localSheetId="17">'Лот 18'!ew</definedName>
    <definedName name="ew" localSheetId="18">'Лот 19'!ew</definedName>
    <definedName name="ew" localSheetId="19">'Лот 20'!ew</definedName>
    <definedName name="ew" localSheetId="20">'Лот 21'!ew</definedName>
    <definedName name="ew" localSheetId="4">'Лот 5'!ew</definedName>
    <definedName name="ew" localSheetId="5">'Лот 6'!ew</definedName>
    <definedName name="ew" localSheetId="6">'Лот 7'!ew</definedName>
    <definedName name="ew">[0]!ew</definedName>
    <definedName name="fg" localSheetId="10">'Лот 11'!fg</definedName>
    <definedName name="fg" localSheetId="11">'Лот 12'!fg</definedName>
    <definedName name="fg" localSheetId="17">'Лот 18'!fg</definedName>
    <definedName name="fg" localSheetId="18">'Лот 19'!fg</definedName>
    <definedName name="fg" localSheetId="19">'Лот 20'!fg</definedName>
    <definedName name="fg" localSheetId="20">'Лот 21'!fg</definedName>
    <definedName name="fg" localSheetId="4">'Лот 5'!fg</definedName>
    <definedName name="fg" localSheetId="5">'Лот 6'!fg</definedName>
    <definedName name="fg" localSheetId="6">'Лот 7'!fg</definedName>
    <definedName name="fg">[0]!fg</definedName>
    <definedName name="k" localSheetId="10">'Лот 11'!k</definedName>
    <definedName name="k" localSheetId="11">'Лот 12'!k</definedName>
    <definedName name="k" localSheetId="17">'Лот 18'!k</definedName>
    <definedName name="k" localSheetId="18">'Лот 19'!k</definedName>
    <definedName name="k" localSheetId="19">'Лот 20'!k</definedName>
    <definedName name="k" localSheetId="20">'Лот 21'!k</definedName>
    <definedName name="k" localSheetId="4">'Лот 5'!k</definedName>
    <definedName name="k" localSheetId="5">'Лот 6'!k</definedName>
    <definedName name="k" localSheetId="6">'Лот 7'!k</definedName>
    <definedName name="k">[0]!k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10">'Лот 11'!www</definedName>
    <definedName name="www" localSheetId="11">'Лот 12'!www</definedName>
    <definedName name="www" localSheetId="17">'Лот 18'!www</definedName>
    <definedName name="www" localSheetId="18">'Лот 19'!www</definedName>
    <definedName name="www" localSheetId="19">'Лот 20'!www</definedName>
    <definedName name="www" localSheetId="20">'Лот 21'!www</definedName>
    <definedName name="www" localSheetId="4">'Лот 5'!www</definedName>
    <definedName name="www" localSheetId="5">'Лот 6'!www</definedName>
    <definedName name="www" localSheetId="6">'Лот 7'!www</definedName>
    <definedName name="www">[0]!www</definedName>
    <definedName name="аа" localSheetId="10">'Лот 11'!аа</definedName>
    <definedName name="аа" localSheetId="11">'Лот 12'!аа</definedName>
    <definedName name="аа" localSheetId="17">'Лот 18'!аа</definedName>
    <definedName name="аа" localSheetId="18">'Лот 19'!аа</definedName>
    <definedName name="аа" localSheetId="19">'Лот 20'!аа</definedName>
    <definedName name="аа" localSheetId="20">'Лот 21'!аа</definedName>
    <definedName name="аа" localSheetId="4">'Лот 5'!аа</definedName>
    <definedName name="аа" localSheetId="5">'Лот 6'!аа</definedName>
    <definedName name="аа" localSheetId="6">'Лот 7'!аа</definedName>
    <definedName name="аа">[0]!аа</definedName>
    <definedName name="ааа" localSheetId="10">'Лот 11'!ааа</definedName>
    <definedName name="ааа" localSheetId="11">'Лот 12'!ааа</definedName>
    <definedName name="ааа" localSheetId="17">'Лот 18'!ааа</definedName>
    <definedName name="ааа" localSheetId="18">'Лот 19'!ааа</definedName>
    <definedName name="ааа" localSheetId="19">'Лот 20'!ааа</definedName>
    <definedName name="ааа" localSheetId="20">'Лот 21'!ааа</definedName>
    <definedName name="ааа" localSheetId="4">'Лот 5'!ааа</definedName>
    <definedName name="ааа" localSheetId="5">'Лот 6'!ааа</definedName>
    <definedName name="ааа" localSheetId="6">'Лот 7'!ааа</definedName>
    <definedName name="ааа">[0]!ааа</definedName>
    <definedName name="аааа" localSheetId="10">'Лот 11'!аааа</definedName>
    <definedName name="аааа" localSheetId="11">'Лот 12'!аааа</definedName>
    <definedName name="аааа" localSheetId="17">'Лот 18'!аааа</definedName>
    <definedName name="аааа" localSheetId="18">'Лот 19'!аааа</definedName>
    <definedName name="аааа" localSheetId="19">'Лот 20'!аааа</definedName>
    <definedName name="аааа" localSheetId="20">'Лот 21'!аааа</definedName>
    <definedName name="аааа" localSheetId="4">'Лот 5'!аааа</definedName>
    <definedName name="аааа" localSheetId="5">'Лот 6'!аааа</definedName>
    <definedName name="аааа" localSheetId="6">'Лот 7'!аааа</definedName>
    <definedName name="аааа">[0]!аааа</definedName>
    <definedName name="амор" localSheetId="10">'Лот 11'!амор</definedName>
    <definedName name="амор" localSheetId="11">'Лот 12'!амор</definedName>
    <definedName name="амор" localSheetId="17">'Лот 18'!амор</definedName>
    <definedName name="амор" localSheetId="18">'Лот 19'!амор</definedName>
    <definedName name="амор" localSheetId="19">'Лот 20'!амор</definedName>
    <definedName name="амор" localSheetId="20">'Лот 21'!амор</definedName>
    <definedName name="амор" localSheetId="4">'Лот 5'!амор</definedName>
    <definedName name="амор" localSheetId="5">'Лот 6'!амор</definedName>
    <definedName name="амор" localSheetId="6">'Лот 7'!амор</definedName>
    <definedName name="амор">[0]!амор</definedName>
    <definedName name="б" localSheetId="10">'Лот 11'!б</definedName>
    <definedName name="б" localSheetId="11">'Лот 12'!б</definedName>
    <definedName name="б" localSheetId="17">'Лот 18'!б</definedName>
    <definedName name="б" localSheetId="18">'Лот 19'!б</definedName>
    <definedName name="б" localSheetId="19">'Лот 20'!б</definedName>
    <definedName name="б" localSheetId="20">'Лот 21'!б</definedName>
    <definedName name="б" localSheetId="4">'Лот 5'!б</definedName>
    <definedName name="б" localSheetId="5">'Лот 6'!б</definedName>
    <definedName name="б" localSheetId="6">'Лот 7'!б</definedName>
    <definedName name="б">[0]!б</definedName>
    <definedName name="в23ё" localSheetId="10">'Лот 11'!в23ё</definedName>
    <definedName name="в23ё" localSheetId="11">'Лот 12'!в23ё</definedName>
    <definedName name="в23ё" localSheetId="17">'Лот 18'!в23ё</definedName>
    <definedName name="в23ё" localSheetId="18">'Лот 19'!в23ё</definedName>
    <definedName name="в23ё" localSheetId="19">'Лот 20'!в23ё</definedName>
    <definedName name="в23ё" localSheetId="20">'Лот 21'!в23ё</definedName>
    <definedName name="в23ё" localSheetId="4">'Лот 5'!в23ё</definedName>
    <definedName name="в23ё" localSheetId="5">'Лот 6'!в23ё</definedName>
    <definedName name="в23ё" localSheetId="6">'Лот 7'!в23ё</definedName>
    <definedName name="в23ё">[0]!в23ё</definedName>
    <definedName name="вв" localSheetId="10">'Лот 11'!вв</definedName>
    <definedName name="вв" localSheetId="11">'Лот 12'!вв</definedName>
    <definedName name="вв" localSheetId="17">'Лот 18'!вв</definedName>
    <definedName name="вв" localSheetId="18">'Лот 19'!вв</definedName>
    <definedName name="вв" localSheetId="19">'Лот 20'!вв</definedName>
    <definedName name="вв" localSheetId="20">'Лот 21'!вв</definedName>
    <definedName name="вв" localSheetId="4">'Лот 5'!вв</definedName>
    <definedName name="вв" localSheetId="5">'Лот 6'!вв</definedName>
    <definedName name="вв" localSheetId="6">'Лот 7'!вв</definedName>
    <definedName name="вв">[0]!вв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10">'Лот 11'!ииииииииииииииииииииииииииииииииииииииииииииииииииииииииииииии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11">'Лот 12'!ииииииииииииииииииииииииииииииииииииииииииииииииииииииииииииии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17">'Лот 18'!ииииииииииииииииииииииииииииииииииииииииииииииииииииииииииииии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18">'Лот 19'!ииииииииииииииииииииииииииииииииииииииииииииииииииииииииииииии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19">'Лот 20'!ииииииииииииииииииииииииииииииииииииииииииииииииииииииииииииии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20">'Лот 21'!ииииииииииииииииииииииииииииииииииииииииииииииииииииииииииииии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4">'Лот 5'!ииииииииииииииииииииииииииииииииииииииииииииииииииииииииииииии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5">'Лот 6'!ииииииииииииииииииииииииииииииииииииииииииииииииииииииииииииии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6">'Лот 7'!ииииииииииииииииииииииииииииииииииииииииииииииииииииииииииииии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о" localSheetId="10">'Лот 11'!ио</definedName>
    <definedName name="ио" localSheetId="11">'Лот 12'!ио</definedName>
    <definedName name="ио" localSheetId="17">'Лот 18'!ио</definedName>
    <definedName name="ио" localSheetId="18">'Лот 19'!ио</definedName>
    <definedName name="ио" localSheetId="19">'Лот 20'!ио</definedName>
    <definedName name="ио" localSheetId="20">'Лот 21'!ио</definedName>
    <definedName name="ио" localSheetId="4">'Лот 5'!ио</definedName>
    <definedName name="ио" localSheetId="5">'Лот 6'!ио</definedName>
    <definedName name="ио" localSheetId="6">'Лот 7'!ио</definedName>
    <definedName name="ио">[0]!ио</definedName>
    <definedName name="й" localSheetId="10">'Лот 11'!й</definedName>
    <definedName name="й" localSheetId="11">'Лот 12'!й</definedName>
    <definedName name="й" localSheetId="17">'Лот 18'!й</definedName>
    <definedName name="й" localSheetId="18">'Лот 19'!й</definedName>
    <definedName name="й" localSheetId="19">'Лот 20'!й</definedName>
    <definedName name="й" localSheetId="20">'Лот 21'!й</definedName>
    <definedName name="й" localSheetId="4">'Лот 5'!й</definedName>
    <definedName name="й" localSheetId="5">'Лот 6'!й</definedName>
    <definedName name="й" localSheetId="6">'Лот 7'!й</definedName>
    <definedName name="й">[0]!й</definedName>
    <definedName name="йй" localSheetId="10">'Лот 11'!йй</definedName>
    <definedName name="йй" localSheetId="11">'Лот 12'!йй</definedName>
    <definedName name="йй" localSheetId="17">'Лот 18'!йй</definedName>
    <definedName name="йй" localSheetId="18">'Лот 19'!йй</definedName>
    <definedName name="йй" localSheetId="19">'Лот 20'!йй</definedName>
    <definedName name="йй" localSheetId="20">'Лот 21'!йй</definedName>
    <definedName name="йй" localSheetId="4">'Лот 5'!йй</definedName>
    <definedName name="йй" localSheetId="5">'Лот 6'!йй</definedName>
    <definedName name="йй" localSheetId="6">'Лот 7'!йй</definedName>
    <definedName name="йй">[0]!йй</definedName>
    <definedName name="ййй" localSheetId="10">'Лот 11'!ййй</definedName>
    <definedName name="ййй" localSheetId="11">'Лот 12'!ййй</definedName>
    <definedName name="ййй" localSheetId="17">'Лот 18'!ййй</definedName>
    <definedName name="ййй" localSheetId="18">'Лот 19'!ййй</definedName>
    <definedName name="ййй" localSheetId="19">'Лот 20'!ййй</definedName>
    <definedName name="ййй" localSheetId="20">'Лот 21'!ййй</definedName>
    <definedName name="ййй" localSheetId="4">'Лот 5'!ййй</definedName>
    <definedName name="ййй" localSheetId="5">'Лот 6'!ййй</definedName>
    <definedName name="ййй" localSheetId="6">'Лот 7'!ййй</definedName>
    <definedName name="ййй">[0]!ййй</definedName>
    <definedName name="йййййййййййййййййййййййййййййййййййййййййййййййййййййй" localSheetId="10">'Лот 11'!йййййййййййййййййййййййййййййййййййййййййййййййййййййй</definedName>
    <definedName name="йййййййййййййййййййййййййййййййййййййййййййййййййййййй" localSheetId="11">'Лот 12'!йййййййййййййййййййййййййййййййййййййййййййййййййййййй</definedName>
    <definedName name="йййййййййййййййййййййййййййййййййййййййййййййййййййййй" localSheetId="17">'Лот 18'!йййййййййййййййййййййййййййййййййййййййййййййййййййййй</definedName>
    <definedName name="йййййййййййййййййййййййййййййййййййййййййййййййййййййй" localSheetId="18">'Лот 19'!йййййййййййййййййййййййййййййййййййййййййййййййййййййй</definedName>
    <definedName name="йййййййййййййййййййййййййййййййййййййййййййййййййййййй" localSheetId="19">'Лот 20'!йййййййййййййййййййййййййййййййййййййййййййййййййййййй</definedName>
    <definedName name="йййййййййййййййййййййййййййййййййййййййййййййййййййййй" localSheetId="20">'Лот 21'!йййййййййййййййййййййййййййййййййййййййййййййййййййййй</definedName>
    <definedName name="йййййййййййййййййййййййййййййййййййййййййййййййййййййй" localSheetId="4">'Лот 5'!йййййййййййййййййййййййййййййййййййййййййййййййййййййй</definedName>
    <definedName name="йййййййййййййййййййййййййййййййййййййййййййййййййййййй" localSheetId="5">'Лот 6'!йййййййййййййййййййййййййййййййййййййййййййййййййййййй</definedName>
    <definedName name="йййййййййййййййййййййййййййййййййййййййййййййййййййййй" localSheetId="6">'Лот 7'!йййййййййййййййййййййййййййййййййййййййййййййййййййййй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ке" localSheetId="10">'Лот 11'!ке</definedName>
    <definedName name="ке" localSheetId="11">'Лот 12'!ке</definedName>
    <definedName name="ке" localSheetId="17">'Лот 18'!ке</definedName>
    <definedName name="ке" localSheetId="18">'Лот 19'!ке</definedName>
    <definedName name="ке" localSheetId="19">'Лот 20'!ке</definedName>
    <definedName name="ке" localSheetId="20">'Лот 21'!ке</definedName>
    <definedName name="ке" localSheetId="4">'Лот 5'!ке</definedName>
    <definedName name="ке" localSheetId="5">'Лот 6'!ке</definedName>
    <definedName name="ке" localSheetId="6">'Лот 7'!ке</definedName>
    <definedName name="ке">[0]!ке</definedName>
    <definedName name="ммммммммммммммммммммммммммммммммммммммммммммм" localSheetId="10">'Лот 11'!ммммммммммммммммммммммммммммммммммммммммммммм</definedName>
    <definedName name="ммммммммммммммммммммммммммммммммммммммммммммм" localSheetId="11">'Лот 12'!ммммммммммммммммммммммммммммммммммммммммммммм</definedName>
    <definedName name="ммммммммммммммммммммммммммммммммммммммммммммм" localSheetId="17">'Лот 18'!ммммммммммммммммммммммммммммммммммммммммммммм</definedName>
    <definedName name="ммммммммммммммммммммммммммммммммммммммммммммм" localSheetId="18">'Лот 19'!ммммммммммммммммммммммммммммммммммммммммммммм</definedName>
    <definedName name="ммммммммммммммммммммммммммммммммммммммммммммм" localSheetId="19">'Лот 20'!ммммммммммммммммммммммммммммммммммммммммммммм</definedName>
    <definedName name="ммммммммммммммммммммммммммммммммммммммммммммм" localSheetId="20">'Лот 21'!ммммммммммммммммммммммммммммммммммммммммммммм</definedName>
    <definedName name="ммммммммммммммммммммммммммммммммммммммммммммм" localSheetId="4">'Лот 5'!ммммммммммммммммммммммммммммммммммммммммммммм</definedName>
    <definedName name="ммммммммммммммммммммммммммммммммммммммммммммм" localSheetId="5">'Лот 6'!ммммммммммммммммммммммммммммммммммммммммммммм</definedName>
    <definedName name="ммммммммммммммммммммммммммммммммммммммммммммм" localSheetId="6">'Лот 7'!ммммммммммммммммммммммммммммммммммммммммммммм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ым" localSheetId="10">'Лот 11'!мым</definedName>
    <definedName name="мым" localSheetId="11">'Лот 12'!мым</definedName>
    <definedName name="мым" localSheetId="17">'Лот 18'!мым</definedName>
    <definedName name="мым" localSheetId="18">'Лот 19'!мым</definedName>
    <definedName name="мым" localSheetId="19">'Лот 20'!мым</definedName>
    <definedName name="мым" localSheetId="20">'Лот 21'!мым</definedName>
    <definedName name="мым" localSheetId="4">'Лот 5'!мым</definedName>
    <definedName name="мым" localSheetId="5">'Лот 6'!мым</definedName>
    <definedName name="мым" localSheetId="6">'Лот 7'!мым</definedName>
    <definedName name="мым">[0]!мым</definedName>
    <definedName name="нннннннннннннннннннннннннннннннннннннннннннннннннннннннннннннннн" localSheetId="10">'Лот 11'!нннннннннннннннннннннннннннннннннннннннннннннннннннннннннннннннн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11">'Лот 12'!нннннннннннннннннннннннннннннннннннннннннннннннннннннннннннннннн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17">'Лот 18'!нннннннннннннннннннннннннннннннннннннннннннннннннннннннннннннннн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18">'Лот 19'!нннннннннннннннннннннннннннннннннннннннннннннннннннннннннннннннн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19">'Лот 20'!нннннннннннннннннннннннннннннннннннннннннннннннннннннннннннннннн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20">'Лот 21'!нннннннннннннннннннннннннннннннннннннннннннннннннннннннннннннннн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4">'Лот 5'!нннннннннннннннннннннннннннннннннннннннннннннннннннннннннннннннн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5">'Лот 6'!нннннннннннннннннннннннннннннннннннннннннннннннннннннннннннннннн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6">'Лот 7'!нннннннннннннннннннннннннннннннннннннннннннннннннннннннннннннннн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ов" localSheetId="10">'Лот 11'!нов</definedName>
    <definedName name="нов" localSheetId="11">'Лот 12'!нов</definedName>
    <definedName name="нов" localSheetId="17">'Лот 18'!нов</definedName>
    <definedName name="нов" localSheetId="18">'Лот 19'!нов</definedName>
    <definedName name="нов" localSheetId="19">'Лот 20'!нов</definedName>
    <definedName name="нов" localSheetId="20">'Лот 21'!нов</definedName>
    <definedName name="нов" localSheetId="4">'Лот 5'!нов</definedName>
    <definedName name="нов" localSheetId="5">'Лот 6'!нов</definedName>
    <definedName name="нов" localSheetId="6">'Лот 7'!нов</definedName>
    <definedName name="нов">[0]!нов</definedName>
    <definedName name="новое" localSheetId="10">'Лот 11'!новое</definedName>
    <definedName name="новое" localSheetId="11">'Лот 12'!новое</definedName>
    <definedName name="новое" localSheetId="17">'Лот 18'!новое</definedName>
    <definedName name="новое" localSheetId="18">'Лот 19'!новое</definedName>
    <definedName name="новое" localSheetId="19">'Лот 20'!новое</definedName>
    <definedName name="новое" localSheetId="20">'Лот 21'!новое</definedName>
    <definedName name="новое" localSheetId="4">'Лот 5'!новое</definedName>
    <definedName name="новое" localSheetId="5">'Лот 6'!новое</definedName>
    <definedName name="новое" localSheetId="6">'Лот 7'!новое</definedName>
    <definedName name="новое">[0]!новое</definedName>
    <definedName name="О843">'[1]2002'!#REF!</definedName>
    <definedName name="общехоз." localSheetId="10">'Лот 11'!общехоз.</definedName>
    <definedName name="общехоз." localSheetId="11">'Лот 12'!общехоз.</definedName>
    <definedName name="общехоз." localSheetId="17">'Лот 18'!общехоз.</definedName>
    <definedName name="общехоз." localSheetId="18">'Лот 19'!общехоз.</definedName>
    <definedName name="общехоз." localSheetId="19">'Лот 20'!общехоз.</definedName>
    <definedName name="общехоз." localSheetId="20">'Лот 21'!общехоз.</definedName>
    <definedName name="общехоз." localSheetId="4">'Лот 5'!общехоз.</definedName>
    <definedName name="общехоз." localSheetId="5">'Лот 6'!общехоз.</definedName>
    <definedName name="общехоз." localSheetId="6">'Лот 7'!общехоз.</definedName>
    <definedName name="общехоз.">[0]!общехоз.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10">'Лот 11'!п</definedName>
    <definedName name="п" localSheetId="11">'Лот 12'!п</definedName>
    <definedName name="п" localSheetId="17">'Лот 18'!п</definedName>
    <definedName name="п" localSheetId="18">'Лот 19'!п</definedName>
    <definedName name="п" localSheetId="19">'Лот 20'!п</definedName>
    <definedName name="п" localSheetId="20">'Лот 21'!п</definedName>
    <definedName name="п" localSheetId="4">'Лот 5'!п</definedName>
    <definedName name="п" localSheetId="5">'Лот 6'!п</definedName>
    <definedName name="п" localSheetId="6">'Лот 7'!п</definedName>
    <definedName name="п">[0]!п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10">'Лот 11'!пп</definedName>
    <definedName name="пп" localSheetId="11">'Лот 12'!пп</definedName>
    <definedName name="пп" localSheetId="17">'Лот 18'!пп</definedName>
    <definedName name="пп" localSheetId="18">'Лот 19'!пп</definedName>
    <definedName name="пп" localSheetId="19">'Лот 20'!пп</definedName>
    <definedName name="пп" localSheetId="20">'Лот 21'!пп</definedName>
    <definedName name="пп" localSheetId="4">'Лот 5'!пп</definedName>
    <definedName name="пп" localSheetId="5">'Лот 6'!пп</definedName>
    <definedName name="пп" localSheetId="6">'Лот 7'!пп</definedName>
    <definedName name="пп">[0]!пп</definedName>
    <definedName name="пппп" localSheetId="10">'Лот 11'!пппп</definedName>
    <definedName name="пппп" localSheetId="11">'Лот 12'!пппп</definedName>
    <definedName name="пппп" localSheetId="17">'Лот 18'!пппп</definedName>
    <definedName name="пппп" localSheetId="18">'Лот 19'!пппп</definedName>
    <definedName name="пппп" localSheetId="19">'Лот 20'!пппп</definedName>
    <definedName name="пппп" localSheetId="20">'Лот 21'!пппп</definedName>
    <definedName name="пппп" localSheetId="4">'Лот 5'!пппп</definedName>
    <definedName name="пппп" localSheetId="5">'Лот 6'!пппп</definedName>
    <definedName name="пппп" localSheetId="6">'Лот 7'!пппп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10">'Лот 11'!р</definedName>
    <definedName name="р" localSheetId="11">'Лот 12'!р</definedName>
    <definedName name="р" localSheetId="17">'Лот 18'!р</definedName>
    <definedName name="р" localSheetId="18">'Лот 19'!р</definedName>
    <definedName name="р" localSheetId="19">'Лот 20'!р</definedName>
    <definedName name="р" localSheetId="20">'Лот 21'!р</definedName>
    <definedName name="р" localSheetId="4">'Лот 5'!р</definedName>
    <definedName name="р" localSheetId="5">'Лот 6'!р</definedName>
    <definedName name="р" localSheetId="6">'Лот 7'!р</definedName>
    <definedName name="р">[0]!р</definedName>
    <definedName name="с" localSheetId="10">'Лот 11'!с</definedName>
    <definedName name="с" localSheetId="11">'Лот 12'!с</definedName>
    <definedName name="с" localSheetId="17">'Лот 18'!с</definedName>
    <definedName name="с" localSheetId="18">'Лот 19'!с</definedName>
    <definedName name="с" localSheetId="19">'Лот 20'!с</definedName>
    <definedName name="с" localSheetId="20">'Лот 21'!с</definedName>
    <definedName name="с" localSheetId="4">'Лот 5'!с</definedName>
    <definedName name="с" localSheetId="5">'Лот 6'!с</definedName>
    <definedName name="с" localSheetId="6">'Лот 7'!с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с" localSheetId="10">'Лот 11'!сс</definedName>
    <definedName name="сс" localSheetId="11">'Лот 12'!сс</definedName>
    <definedName name="сс" localSheetId="17">'Лот 18'!сс</definedName>
    <definedName name="сс" localSheetId="18">'Лот 19'!сс</definedName>
    <definedName name="сс" localSheetId="19">'Лот 20'!сс</definedName>
    <definedName name="сс" localSheetId="20">'Лот 21'!сс</definedName>
    <definedName name="сс" localSheetId="4">'Лот 5'!сс</definedName>
    <definedName name="сс" localSheetId="5">'Лот 6'!сс</definedName>
    <definedName name="сс" localSheetId="6">'Лот 7'!сс</definedName>
    <definedName name="сс">[0]!сс</definedName>
    <definedName name="сссс" localSheetId="10">'Лот 11'!сссс</definedName>
    <definedName name="сссс" localSheetId="11">'Лот 12'!сссс</definedName>
    <definedName name="сссс" localSheetId="17">'Лот 18'!сссс</definedName>
    <definedName name="сссс" localSheetId="18">'Лот 19'!сссс</definedName>
    <definedName name="сссс" localSheetId="19">'Лот 20'!сссс</definedName>
    <definedName name="сссс" localSheetId="20">'Лот 21'!сссс</definedName>
    <definedName name="сссс" localSheetId="4">'Лот 5'!сссс</definedName>
    <definedName name="сссс" localSheetId="5">'Лот 6'!сссс</definedName>
    <definedName name="сссс" localSheetId="6">'Лот 7'!сссс</definedName>
    <definedName name="сссс">[0]!сссс</definedName>
    <definedName name="сссссссссссссссссссссссссссссссссссссссссс" localSheetId="10">'Лот 11'!сссссссссссссссссссссссссссссссссссссссссс</definedName>
    <definedName name="сссссссссссссссссссссссссссссссссссссссссс" localSheetId="11">'Лот 12'!сссссссссссссссссссссссссссссссссссссссссс</definedName>
    <definedName name="сссссссссссссссссссссссссссссссссссссссссс" localSheetId="17">'Лот 18'!сссссссссссссссссссссссссссссссссссссссссс</definedName>
    <definedName name="сссссссссссссссссссссссссссссссссссссссссс" localSheetId="18">'Лот 19'!сссссссссссссссссссссссссссссссссссссссссс</definedName>
    <definedName name="сссссссссссссссссссссссссссссссссссссссссс" localSheetId="19">'Лот 20'!сссссссссссссссссссссссссссссссссссссссссс</definedName>
    <definedName name="сссссссссссссссссссссссссссссссссссссссссс" localSheetId="20">'Лот 21'!сссссссссссссссссссссссссссссссссссссссссс</definedName>
    <definedName name="сссссссссссссссссссссссссссссссссссссссссс" localSheetId="4">'Лот 5'!сссссссссссссссссссссссссссссссссссссссссс</definedName>
    <definedName name="сссссссссссссссссссссссссссссссссссссссссс" localSheetId="5">'Лот 6'!сссссссссссссссссссссссссссссссссссссссссс</definedName>
    <definedName name="сссссссссссссссссссссссссссссссссссссссссс" localSheetId="6">'Лот 7'!сссссссссссссссссссссссссссссссссссссссссс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ы" localSheetId="10">'Лот 11'!ссы</definedName>
    <definedName name="ссы" localSheetId="11">'Лот 12'!ссы</definedName>
    <definedName name="ссы" localSheetId="17">'Лот 18'!ссы</definedName>
    <definedName name="ссы" localSheetId="18">'Лот 19'!ссы</definedName>
    <definedName name="ссы" localSheetId="19">'Лот 20'!ссы</definedName>
    <definedName name="ссы" localSheetId="20">'Лот 21'!ссы</definedName>
    <definedName name="ссы" localSheetId="4">'Лот 5'!ссы</definedName>
    <definedName name="ссы" localSheetId="5">'Лот 6'!ссы</definedName>
    <definedName name="ссы" localSheetId="6">'Лот 7'!ссы</definedName>
    <definedName name="ссы">[0]!ссы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10">'Лот 11'!у</definedName>
    <definedName name="у" localSheetId="11">'Лот 12'!у</definedName>
    <definedName name="у" localSheetId="17">'Лот 18'!у</definedName>
    <definedName name="у" localSheetId="18">'Лот 19'!у</definedName>
    <definedName name="у" localSheetId="19">'Лот 20'!у</definedName>
    <definedName name="у" localSheetId="20">'Лот 21'!у</definedName>
    <definedName name="у" localSheetId="4">'Лот 5'!у</definedName>
    <definedName name="у" localSheetId="5">'Лот 6'!у</definedName>
    <definedName name="у" localSheetId="6">'Лот 7'!у</definedName>
    <definedName name="у">[0]!у</definedName>
    <definedName name="УА" localSheetId="10">'Лот 11'!УА</definedName>
    <definedName name="УА" localSheetId="11">'Лот 12'!УА</definedName>
    <definedName name="УА" localSheetId="17">'Лот 18'!УА</definedName>
    <definedName name="УА" localSheetId="18">'Лот 19'!УА</definedName>
    <definedName name="УА" localSheetId="19">'Лот 20'!УА</definedName>
    <definedName name="УА" localSheetId="20">'Лот 21'!УА</definedName>
    <definedName name="УА" localSheetId="4">'Лот 5'!УА</definedName>
    <definedName name="УА" localSheetId="5">'Лот 6'!УА</definedName>
    <definedName name="УА" localSheetId="6">'Лот 7'!УА</definedName>
    <definedName name="УА">[0]!УА</definedName>
    <definedName name="УП" localSheetId="10">'Лот 11'!УП</definedName>
    <definedName name="УП" localSheetId="11">'Лот 12'!УП</definedName>
    <definedName name="УП" localSheetId="17">'Лот 18'!УП</definedName>
    <definedName name="УП" localSheetId="18">'Лот 19'!УП</definedName>
    <definedName name="УП" localSheetId="19">'Лот 20'!УП</definedName>
    <definedName name="УП" localSheetId="20">'Лот 21'!УП</definedName>
    <definedName name="УП" localSheetId="4">'Лот 5'!УП</definedName>
    <definedName name="УП" localSheetId="5">'Лот 6'!УП</definedName>
    <definedName name="УП" localSheetId="6">'Лот 7'!УП</definedName>
    <definedName name="УП">[0]!УП</definedName>
    <definedName name="уфэ" localSheetId="10">'Лот 11'!уфэ</definedName>
    <definedName name="уфэ" localSheetId="11">'Лот 12'!уфэ</definedName>
    <definedName name="уфэ" localSheetId="17">'Лот 18'!уфэ</definedName>
    <definedName name="уфэ" localSheetId="18">'Лот 19'!уфэ</definedName>
    <definedName name="уфэ" localSheetId="19">'Лот 20'!уфэ</definedName>
    <definedName name="уфэ" localSheetId="20">'Лот 21'!уфэ</definedName>
    <definedName name="уфэ" localSheetId="4">'Лот 5'!уфэ</definedName>
    <definedName name="уфэ" localSheetId="5">'Лот 6'!уфэ</definedName>
    <definedName name="уфэ" localSheetId="6">'Лот 7'!уфэ</definedName>
    <definedName name="уфэ">[0]!уфэ</definedName>
    <definedName name="фыв" localSheetId="10">'Лот 11'!фыв</definedName>
    <definedName name="фыв" localSheetId="11">'Лот 12'!фыв</definedName>
    <definedName name="фыв" localSheetId="17">'Лот 18'!фыв</definedName>
    <definedName name="фыв" localSheetId="18">'Лот 19'!фыв</definedName>
    <definedName name="фыв" localSheetId="19">'Лот 20'!фыв</definedName>
    <definedName name="фыв" localSheetId="20">'Лот 21'!фыв</definedName>
    <definedName name="фыв" localSheetId="4">'Лот 5'!фыв</definedName>
    <definedName name="фыв" localSheetId="5">'Лот 6'!фыв</definedName>
    <definedName name="фыв" localSheetId="6">'Лот 7'!фыв</definedName>
    <definedName name="фыв">[0]!фыв</definedName>
    <definedName name="ц" localSheetId="10">'Лот 11'!ц</definedName>
    <definedName name="ц" localSheetId="11">'Лот 12'!ц</definedName>
    <definedName name="ц" localSheetId="17">'Лот 18'!ц</definedName>
    <definedName name="ц" localSheetId="18">'Лот 19'!ц</definedName>
    <definedName name="ц" localSheetId="19">'Лот 20'!ц</definedName>
    <definedName name="ц" localSheetId="20">'Лот 21'!ц</definedName>
    <definedName name="ц" localSheetId="4">'Лот 5'!ц</definedName>
    <definedName name="ц" localSheetId="5">'Лот 6'!ц</definedName>
    <definedName name="ц" localSheetId="6">'Лот 7'!ц</definedName>
    <definedName name="ц">[0]!ц</definedName>
    <definedName name="цу" localSheetId="10">'Лот 11'!цу</definedName>
    <definedName name="цу" localSheetId="11">'Лот 12'!цу</definedName>
    <definedName name="цу" localSheetId="17">'Лот 18'!цу</definedName>
    <definedName name="цу" localSheetId="18">'Лот 19'!цу</definedName>
    <definedName name="цу" localSheetId="19">'Лот 20'!цу</definedName>
    <definedName name="цу" localSheetId="20">'Лот 21'!цу</definedName>
    <definedName name="цу" localSheetId="4">'Лот 5'!цу</definedName>
    <definedName name="цу" localSheetId="5">'Лот 6'!цу</definedName>
    <definedName name="цу" localSheetId="6">'Лот 7'!цу</definedName>
    <definedName name="цу">[0]!цу</definedName>
    <definedName name="четвертый">#REF!</definedName>
    <definedName name="ччxxxxxxxxxxxxxxxxxxxxxxxxxxxxxxxx" localSheetId="10">'Лот 11'!ччxxxxxxxxxxxxxxxxxxxxxxxxxxxxxxxx</definedName>
    <definedName name="ччxxxxxxxxxxxxxxxxxxxxxxxxxxxxxxxx" localSheetId="11">'Лот 12'!ччxxxxxxxxxxxxxxxxxxxxxxxxxxxxxxxx</definedName>
    <definedName name="ччxxxxxxxxxxxxxxxxxxxxxxxxxxxxxxxx" localSheetId="17">'Лот 18'!ччxxxxxxxxxxxxxxxxxxxxxxxxxxxxxxxx</definedName>
    <definedName name="ччxxxxxxxxxxxxxxxxxxxxxxxxxxxxxxxx" localSheetId="18">'Лот 19'!ччxxxxxxxxxxxxxxxxxxxxxxxxxxxxxxxx</definedName>
    <definedName name="ччxxxxxxxxxxxxxxxxxxxxxxxxxxxxxxxx" localSheetId="19">'Лот 20'!ччxxxxxxxxxxxxxxxxxxxxxxxxxxxxxxxx</definedName>
    <definedName name="ччxxxxxxxxxxxxxxxxxxxxxxxxxxxxxxxx" localSheetId="20">'Лот 21'!ччxxxxxxxxxxxxxxxxxxxxxxxxxxxxxxxx</definedName>
    <definedName name="ччxxxxxxxxxxxxxxxxxxxxxxxxxxxxxxxx" localSheetId="4">'Лот 5'!ччxxxxxxxxxxxxxxxxxxxxxxxxxxxxxxxx</definedName>
    <definedName name="ччxxxxxxxxxxxxxxxxxxxxxxxxxxxxxxxx" localSheetId="5">'Лот 6'!ччxxxxxxxxxxxxxxxxxxxxxxxxxxxxxxxx</definedName>
    <definedName name="ччxxxxxxxxxxxxxxxxxxxxxxxxxxxxxxxx" localSheetId="6">'Лот 7'!ччxxxxxxxxxxxxxxxxxxxxxxxxxxxxxxxx</definedName>
    <definedName name="ччxxxxxxxxxxxxxxxxxxxxxxxxxxxxxxxx">[0]!ччxxxxxxxxxxxxxxxxxxxxxxxxxxxxxxxx</definedName>
    <definedName name="ъъъъъъъъъъъъъъъъъъъъъъъъъъъъъъъъъъъъъъъъъъъъъъъъъъъъъъъъъъъъъъъъъ" localSheetId="10">'Лот 11'!ъъъъъъъъъъъъъъъъъъъъъъъъъъъъъъъъъъъъъъъъъъъъъъъъъъъъъъъъъъъъъъъъъ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11">'Лот 12'!ъъъъъъъъъъъъъъъъъъъъъъъъъъъъъъъъъъъъъъъъъъъъъъъъъъъъъъъъъъъъъъъъъ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17">'Лот 18'!ъъъъъъъъъъъъъъъъъъъъъъъъъъъъъъъъъъъъъъъъъъъъъъъъъъъъъъъъъъъъъъъъъ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18">'Лот 19'!ъъъъъъъъъъъъъъъъъъъъъъъъъъъъъъъъъъъъъъъъъъъъъъъъъъъъъъъъъъъъъъъъъ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19">'Лот 20'!ъъъъъъъъъъъъъъъъъъъъъъъъъъъъъъъъъъъъъъъъъъъъъъъъъъъъъъъъъъъъъъъъъ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20">'Лот 21'!ъъъъъъъъъъъъъъъъъъъъъъъъъъъъъъъъъъъъъъъъъъъъъъъъъъъъъъъъъъъъъъъъъ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4">'Лот 5'!ъъъъъъъъъъъъъъъъъъъъъъъъъъъъъъъъъъъъъъъъъъъъъъъъъъъъъъъъъъъъъъъъъ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5">'Лот 6'!ъъъъъъъъъъъъъъъъъъъъъъъъъъъъъъъъъъъъъъъъъъъъъъъъъъъъъъъъъъъъъъъъъ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6">'Лот 7'!ъъъъъъъъъъъъъъъъъъъъъъъъъъъъъъъъъъъъъъъъъъъъъъъъъъъъъъъъъъъъъъъъъ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ьь" localSheetId="10">'Лот 11'!ъъъъъъъъъъъъъъъъъъъъъъьь</definedName>
    <definedName name="ъъъъъъъъъъъъъъъъъъъъъъьь" localSheetId="11">'Лот 12'!ъъъъъъъъъъъъъъъъъъъъъъьь</definedName>
    <definedName name="ъъъъъъъъъъъъъъъъъъъъъъьь" localSheetId="17">'Лот 18'!ъъъъъъъъъъъъъъъъъъъъъъьь</definedName>
    <definedName name="ъъъъъъъъъъъъъъъъъъъъъъьь" localSheetId="18">'Лот 19'!ъъъъъъъъъъъъъъъъъъъъъъьь</definedName>
    <definedName name="ъъъъъъъъъъъъъъъъъъъъъъьь" localSheetId="19">'Лот 20'!ъъъъъъъъъъъъъъъъъъъъъъьь</definedName>
    <definedName name="ъъъъъъъъъъъъъъъъъъъъъъьь" localSheetId="20">'Лот 21'!ъъъъъъъъъъъъъъъъъъъъъъьь</definedName>
    <definedName name="ъъъъъъъъъъъъъъъъъъъъъъьь" localSheetId="4">'Лот 5'!ъъъъъъъъъъъъъъъъъъъъъъьь</definedName>
    <definedName name="ъъъъъъъъъъъъъъъъъъъъъъьь" localSheetId="5">'Лот 6'!ъъъъъъъъъъъъъъъъъъъъъъьь</definedName>
    <definedName name="ъъъъъъъъъъъъъъъъъъъъъъьь" localSheetId="6">'Лот 7'!ъъъъъъъъъъъъъъъъъъъъъъьь</definedName>
    <definedName name="ъъъъъъъъъъъъъъъъъъъъъъьь">[0]!ъъъъъъъъъъъъъъъъъъъъъъьь</definedName>
    <definedName name="ъъъъъъъъъььььььььь" localSheetId="10">'Лот 11'!ъъъъъъъъъььььььььь</definedName>
    <definedName name="ъъъъъъъъъььььььььь" localSheetId="11">'Лот 12'!ъъъъъъъъъььььььььь</definedName>
    <definedName name="ъъъъъъъъъььььььььь" localSheetId="17">'Лот 18'!ъъъъъъъъъььььььььь</definedName>
    <definedName name="ъъъъъъъъъььььььььь" localSheetId="18">'Лот 19'!ъъъъъъъъъььььььььь</definedName>
    <definedName name="ъъъъъъъъъььььььььь" localSheetId="19">'Лот 20'!ъъъъъъъъъььььььььь</definedName>
    <definedName name="ъъъъъъъъъььььььььь" localSheetId="20">'Лот 21'!ъъъъъъъъъььььььььь</definedName>
    <definedName name="ъъъъъъъъъььььььььь" localSheetId="4">'Лот 5'!ъъъъъъъъъььььььььь</definedName>
    <definedName name="ъъъъъъъъъььььььььь" localSheetId="5">'Лот 6'!ъъъъъъъъъььььььььь</definedName>
    <definedName name="ъъъъъъъъъььььььььь" localSheetId="6">'Лот 7'!ъъъъъъъъъььььььььь</definedName>
    <definedName name="ъъъъъъъъъььььььььь">[0]!ъъъъъъъъъььььььььь</definedName>
    <definedName name="ъъъъъъъъъьььььььььььььььььььььъъъъъъъъъъъъъъъъъъъъъъъъъъъъъъъъъъъъъъъъъъъъъъъъъъъъъъъъъъъъъъъъъ" localSheetId="10">'Лот 11'!ъъъъъъъъъьььььььььььььььььььььъъъъъъъъъъъъъъъъъъъъъъъъъъъъъъъъъъъъъъъъъъъъъъъъъъъъъъъъъъъъъъъъъ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11">'Лот 12'!ъъъъъъъъъьььььььььььььььььььььъъъъъъъъъъъъъъъъъъъъъъъъъъъъъъъъъъъъъъъъъъъъъъъъъъъъъъъъъъъъъъъъъ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17">'Лот 18'!ъъъъъъъъъьььььььььььььььььььььъъъъъъъъъъъъъъъъъъъъъъъъъъъъъъъъъъъъъъъъъъъъъъъъъъъъъъъъъъъъъъъъъ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18">'Лот 19'!ъъъъъъъъъьььььььььььььььььььььъъъъъъъъъъъъъъъъъъъъъъъъъъъъъъъъъъъъъъъъъъъъъъъъъъъъъъъъъъъъъъъъъ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19">'Лот 20'!ъъъъъъъъъьььььььььььььььььььььъъъъъъъъъъъъъъъъъъъъъъъъъъъъъъъъъъъъъъъъъъъъъъъъъъъъъъъъъъъъъъъъъ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20">'Лот 21'!ъъъъъъъъъьььььььььььььььььььььъъъъъъъъъъъъъъъъъъъъъъъъъъъъъъъъъъъъъъъъъъъъъъъъъъъъъъъъъъъъъъъъъ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4">'Лот 5'!ъъъъъъъъъьььььььььььььььььььььъъъъъъъъъъъъъъъъъъъъъъъъъъъъъъъъъъъъъъъъъъъъъъъъъъъъъъъъъъъъъъъъъ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5">'Лот 6'!ъъъъъъъъъьььььььььььььььььььььъъъъъъъъъъъъъъъъъъъъъъъъъъъъъъъъъъъъъъъъъъъъъъъъъъъъъъъъъъъъъъъъъ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6">'Лот 7'!ъъъъъъъъъьььььььььььььььььььььъъъъъъъъъъъъъъъъъъъъъъъъъъъъъъъъъъъъъъъъъъъъъъъъъъъъъъъъъъъъъъъъъ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ыв" localSheetId="10">'Лот 11'!ыв</definedName>
    <definedName name="ыв" localSheetId="11">'Лот 12'!ыв</definedName>
    <definedName name="ыв" localSheetId="17">'Лот 18'!ыв</definedName>
    <definedName name="ыв" localSheetId="18">'Лот 19'!ыв</definedName>
    <definedName name="ыв" localSheetId="19">'Лот 20'!ыв</definedName>
    <definedName name="ыв" localSheetId="20">'Лот 21'!ыв</definedName>
    <definedName name="ыв" localSheetId="4">'Лот 5'!ыв</definedName>
    <definedName name="ыв" localSheetId="5">'Лот 6'!ыв</definedName>
    <definedName name="ыв" localSheetId="6">'Лот 7'!ыв</definedName>
    <definedName name="ыв">[0]!ыв</definedName>
    <definedName name="ыыыы" localSheetId="10">'Лот 11'!ыыыы</definedName>
    <definedName name="ыыыы" localSheetId="11">'Лот 12'!ыыыы</definedName>
    <definedName name="ыыыы" localSheetId="17">'Лот 18'!ыыыы</definedName>
    <definedName name="ыыыы" localSheetId="18">'Лот 19'!ыыыы</definedName>
    <definedName name="ыыыы" localSheetId="19">'Лот 20'!ыыыы</definedName>
    <definedName name="ыыыы" localSheetId="20">'Лот 21'!ыыыы</definedName>
    <definedName name="ыыыы" localSheetId="4">'Лот 5'!ыыыы</definedName>
    <definedName name="ыыыы" localSheetId="5">'Лот 6'!ыыыы</definedName>
    <definedName name="ыыыы" localSheetId="6">'Лот 7'!ыыыы</definedName>
    <definedName name="ыыыы">[0]!ыыыы</definedName>
    <definedName name="электро_проц_ф">#REF!</definedName>
    <definedName name="электро_процент">#REF!</definedName>
    <definedName name="яяяяяяяяяяяяяяяяяяяяяяяяяяяяяяяяяяяяя" localSheetId="10">'Лот 11'!яяяяяяяяяяяяяяяяяяяяяяяяяяяяяяяяяяяяя</definedName>
    <definedName name="яяяяяяяяяяяяяяяяяяяяяяяяяяяяяяяяяяяяя" localSheetId="11">'Лот 12'!яяяяяяяяяяяяяяяяяяяяяяяяяяяяяяяяяяяяя</definedName>
    <definedName name="яяяяяяяяяяяяяяяяяяяяяяяяяяяяяяяяяяяяя" localSheetId="17">'Лот 18'!яяяяяяяяяяяяяяяяяяяяяяяяяяяяяяяяяяяяя</definedName>
    <definedName name="яяяяяяяяяяяяяяяяяяяяяяяяяяяяяяяяяяяяя" localSheetId="18">'Лот 19'!яяяяяяяяяяяяяяяяяяяяяяяяяяяяяяяяяяяяя</definedName>
    <definedName name="яяяяяяяяяяяяяяяяяяяяяяяяяяяяяяяяяяяяя" localSheetId="19">'Лот 20'!яяяяяяяяяяяяяяяяяяяяяяяяяяяяяяяяяяяяя</definedName>
    <definedName name="яяяяяяяяяяяяяяяяяяяяяяяяяяяяяяяяяяяяя" localSheetId="20">'Лот 21'!яяяяяяяяяяяяяяяяяяяяяяяяяяяяяяяяяяяяя</definedName>
    <definedName name="яяяяяяяяяяяяяяяяяяяяяяяяяяяяяяяяяяяяя" localSheetId="4">'Лот 5'!яяяяяяяяяяяяяяяяяяяяяяяяяяяяяяяяяяяяя</definedName>
    <definedName name="яяяяяяяяяяяяяяяяяяяяяяяяяяяяяяяяяяяяя" localSheetId="5">'Лот 6'!яяяяяяяяяяяяяяяяяяяяяяяяяяяяяяяяяяяяя</definedName>
    <definedName name="яяяяяяяяяяяяяяяяяяяяяяяяяяяяяяяяяяяяя" localSheetId="6">'Лот 7'!яяяяяяяяяяяяяяяяяяяяяяяяяяяяяяяяяяяяя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</definedNames>
  <calcPr fullCalcOnLoad="1"/>
</workbook>
</file>

<file path=xl/sharedStrings.xml><?xml version="1.0" encoding="utf-8"?>
<sst xmlns="http://schemas.openxmlformats.org/spreadsheetml/2006/main" count="3362" uniqueCount="380">
  <si>
    <t>Лот № 13</t>
  </si>
  <si>
    <t>ул. Тульская, 2</t>
  </si>
  <si>
    <t>кв. м</t>
  </si>
  <si>
    <t>№ п/п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</si>
  <si>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</si>
  <si>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</si>
  <si>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</si>
  <si>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площади, руб.</t>
  </si>
  <si>
    <t>I.Содержание помещений общего пользования</t>
  </si>
  <si>
    <t>Подметание полов во всех помещениях общего пользования</t>
  </si>
  <si>
    <t>2 раза в неделю</t>
  </si>
  <si>
    <t>1 раз в неделю</t>
  </si>
  <si>
    <t>2 раза в год</t>
  </si>
  <si>
    <t>1 раз в год</t>
  </si>
  <si>
    <t>II. Уборка земельного участка, входящего в состав общего имущества многоквартирного дома</t>
  </si>
  <si>
    <t>3 раза в месяц</t>
  </si>
  <si>
    <t>По мере необходимости, через  3 часа во время снегопада</t>
  </si>
  <si>
    <t>Ликвидация наледи</t>
  </si>
  <si>
    <t>5 раз в год</t>
  </si>
  <si>
    <t>Сбрасывание снега с крыш, сбивание сосулек</t>
  </si>
  <si>
    <t>III. Подготовка многоквартирного дома к сезонной эксплуатации</t>
  </si>
  <si>
    <t>Укрепление водосточных труб, колен и воронок</t>
  </si>
  <si>
    <t>Консервация системы центрального отопления, ремонт просевшей отмостки</t>
  </si>
  <si>
    <t>Замена разбитых стекол окон и дверей в помещениях общего пользования</t>
  </si>
  <si>
    <t>Ремонт, регулировка, промывка, испытание, расконсервация систем центрального отопления,  утепление и прочистка дымовентиляционных каналов,  ремонт и укрепление входных дверей. Утепление бойлеров.Проверка состояния и ремонт продухов в цоколях зданий.</t>
  </si>
  <si>
    <t>IV Услуги вывоза бытовых отходов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</si>
  <si>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</si>
  <si>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</si>
  <si>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</si>
  <si>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</si>
  <si>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 xml:space="preserve"> V Проведение технических осмотров и мелких ремонтов </t>
  </si>
  <si>
    <t>постоянно</t>
  </si>
  <si>
    <t>Вывоз смета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</si>
  <si>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</si>
  <si>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</si>
  <si>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Дератизация, дезинсекция</t>
  </si>
  <si>
    <t>Итого</t>
  </si>
  <si>
    <t>Объем работ ед. изм. /кол-во</t>
  </si>
  <si>
    <t>Стоимость работ, всего, руб.</t>
  </si>
  <si>
    <t>Стоимость работ           1 кв.м в месяц, руб.</t>
  </si>
  <si>
    <t>Гарантийный срок  на выполненные работы, лет</t>
  </si>
  <si>
    <t>Ремонт кровли</t>
  </si>
  <si>
    <t>120 кв. м</t>
  </si>
  <si>
    <t>Итого: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</si>
  <si>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</si>
  <si>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 xml:space="preserve">Периодичность </t>
  </si>
  <si>
    <t>Стоимость на 1 кв. м в месяц</t>
  </si>
  <si>
    <t>I. Санитарные работы по содержанию помещений общего пользования</t>
  </si>
  <si>
    <t xml:space="preserve">1. </t>
  </si>
  <si>
    <t>3 раза в неделю дополнительно</t>
  </si>
  <si>
    <t xml:space="preserve">2. </t>
  </si>
  <si>
    <t>Очистка и помывка фасадов здания от объявлений, плакатов</t>
  </si>
  <si>
    <t>2 раза в год дополнительно</t>
  </si>
  <si>
    <t>II. Уборка земельного участка входящего в состав общего имущества многоквартирного дома</t>
  </si>
  <si>
    <t xml:space="preserve">3. </t>
  </si>
  <si>
    <t>Очистка и текущий ремонт детских и спортивных площадок, элементов благоустройства</t>
  </si>
  <si>
    <t xml:space="preserve">4. </t>
  </si>
  <si>
    <t>Подметание земельного участка в летний период</t>
  </si>
  <si>
    <t>5 раз в неделю дополнительно</t>
  </si>
  <si>
    <t xml:space="preserve">5. </t>
  </si>
  <si>
    <t>12 кв. м</t>
  </si>
  <si>
    <t>Перечень работ и материалы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</si>
  <si>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</si>
  <si>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Мытье полов во всех помещениях общего пользования</t>
  </si>
  <si>
    <t>Мытье и протирка дверей и окон в помещениях общего пользования, включая двери мусорных камер</t>
  </si>
  <si>
    <t>Уборка чердачного и подвального помещений</t>
  </si>
  <si>
    <t>Сдвижка и подметание снега при отсутствии снегопадов</t>
  </si>
  <si>
    <t>Стрижка газонов</t>
  </si>
  <si>
    <t>Выполнение заявок населения</t>
  </si>
  <si>
    <t>VI Устранение аварий выполнение заявок населения</t>
  </si>
  <si>
    <t>VII Прочие услуги</t>
  </si>
  <si>
    <t xml:space="preserve">Аварийное обслуживание </t>
  </si>
  <si>
    <t>постоянно на системах водоснабжения, теплоснабжения, канализации, энергоснабжения, газоснабжения</t>
  </si>
  <si>
    <t>1.</t>
  </si>
  <si>
    <t>3.</t>
  </si>
  <si>
    <t>2.</t>
  </si>
  <si>
    <t>I. Уборка земельного участка, входящего в состав общего имущества многоквартирного дома</t>
  </si>
  <si>
    <t>II. Подготовка многоквартирного дома к сезонной эксплуатации</t>
  </si>
  <si>
    <t>Вывоз нечистот из дворовых туалетов</t>
  </si>
  <si>
    <t>Сдвижка и подметание снега при снегопаде</t>
  </si>
  <si>
    <t>Подрезка деревьев и кустов</t>
  </si>
  <si>
    <t>Уборка мусора с газона</t>
  </si>
  <si>
    <t>кв.м</t>
  </si>
  <si>
    <t>Размер платы за содержание и ремонт жилого помещения по лоту № 13 в год, руб.</t>
  </si>
  <si>
    <t>Стоимость на 1 кв. м в месяц,  руб.</t>
  </si>
  <si>
    <t>Размер платы за содержание и ремонт жилого помещения в год, руб.</t>
  </si>
  <si>
    <t>Осуществление сохранности и поддержка в исправном состоянии почтовых абонентских ящиков</t>
  </si>
  <si>
    <t>Ремонт просевшей отмостки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</si>
  <si>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</si>
  <si>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</si>
  <si>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 xml:space="preserve">2 раза в год </t>
  </si>
  <si>
    <t>Лот 6</t>
  </si>
  <si>
    <t>ул. Миллеровская, 31</t>
  </si>
  <si>
    <t>Стоимость на 1 кв.м общей площади (руб. в мес.)</t>
  </si>
  <si>
    <t xml:space="preserve">Полив газонов       </t>
  </si>
  <si>
    <t xml:space="preserve">6. </t>
  </si>
  <si>
    <t>Выкашивание газонов</t>
  </si>
  <si>
    <t xml:space="preserve">7. </t>
  </si>
  <si>
    <t>Обрезка деревьев и кустарников</t>
  </si>
  <si>
    <t>II. Услуги вывоза бытовых отходов</t>
  </si>
  <si>
    <t xml:space="preserve">8. </t>
  </si>
  <si>
    <t>Ежедневно</t>
  </si>
  <si>
    <t xml:space="preserve">9. </t>
  </si>
  <si>
    <t>По мере необходимости</t>
  </si>
  <si>
    <t>10.</t>
  </si>
  <si>
    <t>11.</t>
  </si>
  <si>
    <t>12.</t>
  </si>
  <si>
    <t>13.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</si>
  <si>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</si>
  <si>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IV. Проведение технических осмотров и мелкий ремонт</t>
  </si>
  <si>
    <t>14.</t>
  </si>
  <si>
    <t xml:space="preserve">15. </t>
  </si>
  <si>
    <t>Постоянно на системах водоснабжения, теплоснабжения, канализации, энергоснабжения, газоснабжения</t>
  </si>
  <si>
    <t>VI. Устранение аварии и выполнение заявок населения</t>
  </si>
  <si>
    <t>16.</t>
  </si>
  <si>
    <t>Постоянно</t>
  </si>
  <si>
    <t>V. Прочие услуги</t>
  </si>
  <si>
    <t>17.</t>
  </si>
  <si>
    <t>18.</t>
  </si>
  <si>
    <t>Осуществление сохранности и поддержка в исправном состоянии абонентских ящиков</t>
  </si>
  <si>
    <t>ИТОГО</t>
  </si>
  <si>
    <t>Перечень работ, материалы</t>
  </si>
  <si>
    <t>Объем работ ед. изм. / кол-во</t>
  </si>
  <si>
    <t>Стоимость работ,           1 кв.м в месяц, руб.</t>
  </si>
  <si>
    <t>17,5 кв.м</t>
  </si>
  <si>
    <t>Размер платы за содержание и ремонт жилого помещения в год  руб.</t>
  </si>
  <si>
    <t>Стоимость на 1 кв. м в месяц, руб.</t>
  </si>
  <si>
    <t xml:space="preserve">1 раз в год </t>
  </si>
  <si>
    <t>1,75 кв.м</t>
  </si>
  <si>
    <t xml:space="preserve">I. Услуги вывоза бытовых отходов </t>
  </si>
  <si>
    <t>4.</t>
  </si>
  <si>
    <t>5.</t>
  </si>
  <si>
    <t>III. Проведение технических осмотров и мелкий ремонт</t>
  </si>
  <si>
    <t>6.</t>
  </si>
  <si>
    <t>IV. Устранение аварии и выполнение заявок населения</t>
  </si>
  <si>
    <t>8.</t>
  </si>
  <si>
    <t>9.</t>
  </si>
  <si>
    <t>1 кв.м</t>
  </si>
  <si>
    <t>I. Услуги вывоза бытовых отходов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</si>
  <si>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</si>
  <si>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</si>
  <si>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7.</t>
  </si>
  <si>
    <t>Лот 8</t>
  </si>
  <si>
    <t>2-й Нефтяной пр-д, 45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</si>
  <si>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устройст, теплоснабжения</t>
  </si>
  <si>
    <t>Постоянно на системах  теплоснабжения, энергоснабжения, газоснабжения</t>
  </si>
  <si>
    <t>5 кв.м</t>
  </si>
  <si>
    <t>0,5 кв.м</t>
  </si>
  <si>
    <t>3-й Нефтяной пр-д, 64</t>
  </si>
  <si>
    <t>Уборка мусора на контейнерных площадках</t>
  </si>
  <si>
    <t>5 раз в неделю</t>
  </si>
  <si>
    <t xml:space="preserve">II. Услуги вывоза бытовых отходов </t>
  </si>
  <si>
    <t xml:space="preserve">10. </t>
  </si>
  <si>
    <t>15.</t>
  </si>
  <si>
    <t xml:space="preserve">16. </t>
  </si>
  <si>
    <t>V. Устранение аварии и выполнение заявок населения</t>
  </si>
  <si>
    <t>VI. Прочие услуги</t>
  </si>
  <si>
    <t>19.</t>
  </si>
  <si>
    <t>20 кв.м</t>
  </si>
  <si>
    <t>2 кв.м</t>
  </si>
  <si>
    <t>3-й Нефтяной пр-д, 70</t>
  </si>
  <si>
    <t>20,8 кв.м</t>
  </si>
  <si>
    <t>2,08 кв.м</t>
  </si>
  <si>
    <t>3-й Нефтяной пр-д, 68</t>
  </si>
  <si>
    <t>19,5 кв.м</t>
  </si>
  <si>
    <t>1,95 кв.м</t>
  </si>
  <si>
    <t>3-й Нефтяной пр-д, 45</t>
  </si>
  <si>
    <t>Размер платы за содержание и ремонт жилого помещения по лоту №8 в год  руб.</t>
  </si>
  <si>
    <t>Лот 1</t>
  </si>
  <si>
    <t>ул. Ново-Крекингская, д. 14</t>
  </si>
  <si>
    <t>I. Содержание помещений общего пользования</t>
  </si>
  <si>
    <t>Мытье лестничных площадок и маршей</t>
  </si>
  <si>
    <t>Протирка пыли с  подоконников в помещениях общего пользования</t>
  </si>
  <si>
    <t>Мытье окон в помещениях общего пользования</t>
  </si>
  <si>
    <t>Уборка подвального помещения</t>
  </si>
  <si>
    <t>III. Услуги вывоза бытовых отходов</t>
  </si>
  <si>
    <t>IV. Подготовка многоквартирного дома к сезонной эксплуатации</t>
  </si>
  <si>
    <t>V. Проведение технических осмотров и мелкий ремонт</t>
  </si>
  <si>
    <t>VII. Прочие услуги</t>
  </si>
  <si>
    <t>Стоимость работ,                             1 кв.м в месяц, руб.</t>
  </si>
  <si>
    <t>56,8 кв.м</t>
  </si>
  <si>
    <t>Стоимость работ,                        1 кв.м в месяц, руб.</t>
  </si>
  <si>
    <t>6 кв.м</t>
  </si>
  <si>
    <t>Лот 2</t>
  </si>
  <si>
    <t>1-й Кавказский туп., д. 3</t>
  </si>
  <si>
    <t>Стоимость работ,                          1 кв.м в месяц, руб.</t>
  </si>
  <si>
    <t>29,6 кв.м</t>
  </si>
  <si>
    <t>Стоимость работ,                           1 кв.м в месяц, руб.</t>
  </si>
  <si>
    <t>3 кв.м</t>
  </si>
  <si>
    <t>1-й Кавказский туп., д. 5</t>
  </si>
  <si>
    <t>29,2 кв.м</t>
  </si>
  <si>
    <t>Размер платы за содержание и ремонт жилого помещения по лоту № 2 в год (руб.)</t>
  </si>
  <si>
    <t>Лот 3</t>
  </si>
  <si>
    <t>4-й Станкостроительный пр-д, д. 26</t>
  </si>
  <si>
    <t>Постоянно на системах энергоснабжения, газоснабжения</t>
  </si>
  <si>
    <t>Откачка жидких нечистот из дворовых туалетов</t>
  </si>
  <si>
    <t>Стоимость работ,                            1 кв.м в месяц, руб.</t>
  </si>
  <si>
    <t>8-й Станкостроительный пр-д, д. 7</t>
  </si>
  <si>
    <t>Лот 4</t>
  </si>
  <si>
    <t>2-й Огородный пр-д, д. 3</t>
  </si>
  <si>
    <t>Лот 9</t>
  </si>
  <si>
    <t>1-й Князевский пр-д, д. 59</t>
  </si>
  <si>
    <t>Лот 10</t>
  </si>
  <si>
    <t>ул. Чернышевского, д. 1</t>
  </si>
  <si>
    <t>4,6 кв.м</t>
  </si>
  <si>
    <t>ул. Чернышевского, д. 1 литер "А"</t>
  </si>
  <si>
    <t>5,6 кв.м</t>
  </si>
  <si>
    <t>ул. Чернышевского, д. 1 литер "Б"</t>
  </si>
  <si>
    <t>16,6 кв.м</t>
  </si>
  <si>
    <t>ул. Чернышевского, д. 1 литер "Б2"</t>
  </si>
  <si>
    <t>Лот 5</t>
  </si>
  <si>
    <t>п. Огородная, дом 2</t>
  </si>
  <si>
    <t xml:space="preserve">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</si>
  <si>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Аварийное обслуживание</t>
  </si>
  <si>
    <t>Постоянно на системах водоснабжения, канализации, энергоснабжения, газоснабжения</t>
  </si>
  <si>
    <t>IV.Устранение аварий и выполнение заявок населения</t>
  </si>
  <si>
    <t>Стимость на 1 кв. м в месяц, руб.</t>
  </si>
  <si>
    <t xml:space="preserve"> 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</si>
  <si>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Аварийное обслуживание на системах водоснабжения, теплоснабжения, канализации, энергоснабжения.газоснабжения</t>
  </si>
  <si>
    <t>Лот 12</t>
  </si>
  <si>
    <t>п. Юриш 8-я линия5, дом 5</t>
  </si>
  <si>
    <t>Лот 20</t>
  </si>
  <si>
    <t>ул.Киевская, дом 10</t>
  </si>
  <si>
    <t>III. Уборка земельного участка, входящего в состав общего имущества многоквартирного дома</t>
  </si>
  <si>
    <t>3 раз в месяц</t>
  </si>
  <si>
    <t xml:space="preserve">IV. Услуги вывоза бытовых отходов </t>
  </si>
  <si>
    <t>V. Подготовка многоквартирного дома к сезонной эксплуатации</t>
  </si>
  <si>
    <t>21.</t>
  </si>
  <si>
    <t>22.</t>
  </si>
  <si>
    <t>23.</t>
  </si>
  <si>
    <t>24.</t>
  </si>
  <si>
    <t>VI. Проведение технических осмотров и мелкий ремонт</t>
  </si>
  <si>
    <t>25.</t>
  </si>
  <si>
    <t>26.</t>
  </si>
  <si>
    <t>VII.Устранение аварий и выполнение заявок населения</t>
  </si>
  <si>
    <t>27.</t>
  </si>
  <si>
    <t>VIII. Прочие услуги</t>
  </si>
  <si>
    <t>28.</t>
  </si>
  <si>
    <t>29.</t>
  </si>
  <si>
    <t>Очистка и текущий ремонт детских и спортивных площадок , элементов благоустройства</t>
  </si>
  <si>
    <t>120 кв.м</t>
  </si>
  <si>
    <t>Ремонт системы канализации</t>
  </si>
  <si>
    <t>158 м.п</t>
  </si>
  <si>
    <t>Прибор учета ХВС</t>
  </si>
  <si>
    <t>1 шт.</t>
  </si>
  <si>
    <t>Прибор учета электроэнергии</t>
  </si>
  <si>
    <t>2 шт.</t>
  </si>
  <si>
    <t>1 раз в год дополнительно</t>
  </si>
  <si>
    <t>10 кв.м</t>
  </si>
  <si>
    <t>5 м.п</t>
  </si>
  <si>
    <r>
      <t>Уборка мусора с газона</t>
    </r>
    <r>
      <rPr>
        <sz val="10"/>
        <color indexed="9"/>
        <rFont val="Times New Roman"/>
        <family val="1"/>
      </rPr>
      <t>,</t>
    </r>
    <r>
      <rPr>
        <sz val="10"/>
        <rFont val="Times New Roman"/>
        <family val="1"/>
      </rPr>
      <t xml:space="preserve"> </t>
    </r>
  </si>
  <si>
    <t>Лот 19</t>
  </si>
  <si>
    <t>пр.Энтузиастов, дом 61</t>
  </si>
  <si>
    <t>Подметание полов кабины лифта и влажная уборка</t>
  </si>
  <si>
    <t xml:space="preserve"> Мытье окон в помещениях общего пользования</t>
  </si>
  <si>
    <t>IV. Услуги вывоза бытовых отходов и содержание лифта</t>
  </si>
  <si>
    <t>20.</t>
  </si>
  <si>
    <t>30.</t>
  </si>
  <si>
    <t>12 кв.м</t>
  </si>
  <si>
    <t>15,8 м.п</t>
  </si>
  <si>
    <r>
      <t xml:space="preserve">Содержание лифтов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</si>
  <si>
    <t>Лот 18</t>
  </si>
  <si>
    <t>пр.Энтузиастов, дом 44В</t>
  </si>
  <si>
    <t>Очистка мусорных камер</t>
  </si>
  <si>
    <t>6 раз в неделю</t>
  </si>
  <si>
    <t>Влажная уборка мусорных камер</t>
  </si>
  <si>
    <t>Мытье и протирка закрывающих устройств мусоропровода</t>
  </si>
  <si>
    <t>Протирка пыли с  подоконников в помещениях общего пользования и мытье окон в помещениях общего пользования</t>
  </si>
  <si>
    <t>Мытье и протирка   дверей  в  помещениях общего пользования, включая двери мусорных камер</t>
  </si>
  <si>
    <t>40 кв.м</t>
  </si>
  <si>
    <t>Ремонт системы ц/о</t>
  </si>
  <si>
    <t>30 м.п</t>
  </si>
  <si>
    <t>Ремонт цоколя</t>
  </si>
  <si>
    <t>пр.Энтузиастов, дом 44</t>
  </si>
  <si>
    <t>Устранение аварий и выполнения заявок населения</t>
  </si>
  <si>
    <t>1 м.п</t>
  </si>
  <si>
    <t>0,5 м.п</t>
  </si>
  <si>
    <t>Размер платы за содержание и ремонт жилого помещения в год по лоту №18  руб.</t>
  </si>
  <si>
    <t>2,57 кв.м</t>
  </si>
  <si>
    <t>1,82 кв.м</t>
  </si>
  <si>
    <t>Лот 7</t>
  </si>
  <si>
    <t>4-й Увекский туп., 1</t>
  </si>
  <si>
    <t>5,7 кв.м</t>
  </si>
  <si>
    <t>Ликвилация наледи</t>
  </si>
  <si>
    <t>8-й Увекский пр, 23</t>
  </si>
  <si>
    <t>Постоянно на системах водоснабжения, энергоснабжения, газоснабжения</t>
  </si>
  <si>
    <t>ул. 11-й Увекский пр., 26</t>
  </si>
  <si>
    <t>2,6 кв.м</t>
  </si>
  <si>
    <t>10,2 кв.м</t>
  </si>
  <si>
    <t>Размер платы за содержание и ремонт жилого помещения по лоту 1 в год  руб.</t>
  </si>
  <si>
    <t>Размер платы за содержание и ремонт жилого помещения по лоту 4 в год  руб.</t>
  </si>
  <si>
    <t>Размер платы за содержание и ремонт жилого помещения по лоту 5 в год  руб.</t>
  </si>
  <si>
    <t>Размер платы за содержание и ремонт жилого помещения по лоту 6 в год  руб.</t>
  </si>
  <si>
    <t>6,35 кв.м</t>
  </si>
  <si>
    <t>Размер платы за содержание и ремонт жилого помещения по лоту 9 в год  руб.</t>
  </si>
  <si>
    <t>Размер платы за содержание и ремонт жилого помещения по лоту 10 в год  руб.</t>
  </si>
  <si>
    <t>3,3 кв.м</t>
  </si>
  <si>
    <t>Размер платы за содержание и ремонт жилого помещения по лоту 12 в год  руб.</t>
  </si>
  <si>
    <t>1,25 кв.м</t>
  </si>
  <si>
    <t>12,5 кв.м</t>
  </si>
  <si>
    <t>0,71 м.п</t>
  </si>
  <si>
    <t>50 кв.м</t>
  </si>
  <si>
    <t>1,42 м.п</t>
  </si>
  <si>
    <t>8,1 м.п</t>
  </si>
  <si>
    <t>Размер платы за содержание и ремонт жилого помещения в год руб.</t>
  </si>
  <si>
    <t>Размер платы за содержание и ремонт жилого помещения по лоту 19 в год  руб.</t>
  </si>
  <si>
    <t>Размер платы за содержание и ремонт жилого помещения по лоту 20 в год  руб.</t>
  </si>
  <si>
    <t>Размер платы за содержание и ремонт жилого помещения по лоту 7 в год  руб.</t>
  </si>
  <si>
    <t>Размер платы за содержание и ремонт жилого помещения по лоту 2 в год руб.</t>
  </si>
  <si>
    <t>Лот 11</t>
  </si>
  <si>
    <t>ул.Чернышевского, дом 7</t>
  </si>
  <si>
    <t>3,2 кв.м</t>
  </si>
  <si>
    <t>Размер платы за содержание и ремонт жилого помещения по лоту № 11 в год, руб.</t>
  </si>
  <si>
    <t>Лот № 14</t>
  </si>
  <si>
    <t>2-й пр-д Азина, 11</t>
  </si>
  <si>
    <t>Стоимость на               1 кв.м общей площади, руб.</t>
  </si>
  <si>
    <t>III Услуги вывоза бытовых отходов</t>
  </si>
  <si>
    <t xml:space="preserve"> IV Проведение технических осмотров и мелких ремонтов </t>
  </si>
  <si>
    <t>V Устранение аварий выполнение заявок населения</t>
  </si>
  <si>
    <t>VI Прочие услуги</t>
  </si>
  <si>
    <t>Вид  работ</t>
  </si>
  <si>
    <t>29,6 кв. м</t>
  </si>
  <si>
    <t>Размер платы за содержание и ремонт жилого помещения в год (руб.)</t>
  </si>
  <si>
    <t>7 кв. м</t>
  </si>
  <si>
    <t>2-й пр-д Азина, 13</t>
  </si>
  <si>
    <t>28,9 кв. м</t>
  </si>
  <si>
    <t>Размер платы за содержание и ремонт жилого помещения по лоту № 14 в год (руб.)</t>
  </si>
  <si>
    <t>Лот № 15</t>
  </si>
  <si>
    <t>пос. Воробьевка, д.10</t>
  </si>
  <si>
    <t>I. Подготовка многоквартирного дома к сезонной эксплуатации</t>
  </si>
  <si>
    <t>Утепление и прочистка дымовентиляционных каналов,  ремонт и укрепление входных дверей. Проверка состояния и ремонт продухов в цоколях зданий.</t>
  </si>
  <si>
    <t>II Услуги вывоза бытовых отходов</t>
  </si>
  <si>
    <t xml:space="preserve"> III Проведение технических осмотров и мелких ремонтов 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</si>
  <si>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</si>
  <si>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>постоянно на системах водоснабжения, энергоснабжения, газоснабжения</t>
  </si>
  <si>
    <t>IV Устранение аварий выполнение заявок населения</t>
  </si>
  <si>
    <t>V Прочие услуги</t>
  </si>
  <si>
    <t>1,8 кв. м</t>
  </si>
  <si>
    <t>Размер платы за содержание и ремонт</t>
  </si>
  <si>
    <t>жилого помещения в год (руб.)</t>
  </si>
  <si>
    <t>пос. Воробьевка, д.12</t>
  </si>
  <si>
    <t>Утепление и прочистка дымовентиляционных каналов,  ремонт и укрепление входных дверей. Проверка состояния и ремонт продухов в околях зданий.</t>
  </si>
  <si>
    <t>2,5 кв. м</t>
  </si>
  <si>
    <t>пос. Воробьевка, д.14</t>
  </si>
  <si>
    <t>3,2 кв. м</t>
  </si>
  <si>
    <t xml:space="preserve">
</t>
  </si>
  <si>
    <t>пос. Воробьевка, 30</t>
  </si>
  <si>
    <t>Утепление и прочистка дымовентиляционных каналов,  ремонт и укрепление входных дверей. Проверка состояния и ремонт продухов в цоколях зданий</t>
  </si>
  <si>
    <t>1,5 кв. м</t>
  </si>
  <si>
    <t>жилого помещения по лоту № 15 в год (руб.)</t>
  </si>
  <si>
    <t>Лот № 16</t>
  </si>
  <si>
    <t>ул. Ясельная, д.19</t>
  </si>
  <si>
    <t>5,6 кв. м</t>
  </si>
  <si>
    <t>1 кв. м</t>
  </si>
  <si>
    <t>жилого помещения по лоту № 16 в год (руб.)</t>
  </si>
  <si>
    <t>Лот № 17</t>
  </si>
  <si>
    <t>ул. Штейнберга 50, д.10</t>
  </si>
  <si>
    <t>постоянно на системах водоснабжения, канализации, энергоснабжения, газоснабжения</t>
  </si>
  <si>
    <t>4,3 кв. м</t>
  </si>
  <si>
    <t>ул. Штейнберга 50, д.12</t>
  </si>
  <si>
    <t>4,1 кв. м</t>
  </si>
  <si>
    <t xml:space="preserve">1 кв. м </t>
  </si>
  <si>
    <t>ул. Штейнберга 50, д.13</t>
  </si>
  <si>
    <t>10 кв. м</t>
  </si>
  <si>
    <t xml:space="preserve">2 кв. м </t>
  </si>
  <si>
    <t>ул. Штейнберга 50, д.14</t>
  </si>
  <si>
    <t>2,6 кв. м</t>
  </si>
  <si>
    <t>ул. Штейнберга 50, д.3</t>
  </si>
  <si>
    <t>Утепление и прочистка дымовентиляционных каналов,  ремонт и укрепление входных дверей.Проверка состояния и ремонт продухов в цоколях зданий.</t>
  </si>
  <si>
    <t>3,9 кв. м</t>
  </si>
  <si>
    <t>ул. Штейнберга 50, д.8</t>
  </si>
  <si>
    <t>4,2 кв. м</t>
  </si>
  <si>
    <t>ул. Штейнберга 50, д. 34</t>
  </si>
  <si>
    <t>9,6 кв. м</t>
  </si>
  <si>
    <t>жилого помещения по лоту № 17 в год (руб.)</t>
  </si>
  <si>
    <t>Лот 21</t>
  </si>
  <si>
    <t>3-ий Артельный пр., д. 5</t>
  </si>
  <si>
    <t>Аварийное обслуживание на системах водоснабжения, теплоснабжения, канализации, энергоснабжения, газоснабжения</t>
  </si>
  <si>
    <t>13,4 кв.м</t>
  </si>
  <si>
    <t>1,5 кв.м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</si>
</sst>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000"/>
    <numFmt numFmtId="167" formatCode="0.000000"/>
    <numFmt numFmtId="168" formatCode="0.0"/>
    <numFmt numFmtId="169" formatCode="#,##0.0"/>
    <numFmt numFmtId="170" formatCode="0.000000000000"/>
    <numFmt numFmtId="171" formatCode="0.00000000000000"/>
    <numFmt numFmtId="172" formatCode="0.000000000000000"/>
    <numFmt numFmtId="173" formatCode="0.0000000000000000"/>
    <numFmt numFmtId="174" formatCode="0.00000000000000000"/>
    <numFmt numFmtId="175" formatCode="0.000000000000000000"/>
    <numFmt numFmtId="176" formatCode="#,##0.000000000000000"/>
    <numFmt numFmtId="177" formatCode="#,##0.0000000000000000"/>
    <numFmt numFmtId="178" formatCode="#,##0.00000000000000000"/>
    <numFmt numFmtId="179" formatCode="_-* #,##0.000000000_р_._-;\-* #,##0.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  <numFmt numFmtId="182" formatCode="_-* #,##0.00000000000000_р_._-;\-* #,##0.00000000000000_р_._-;_-* &quot;-&quot;??_р_._-;_-@_-"/>
    <numFmt numFmtId="183" formatCode="_-* #,##0.000000000000000_р_._-;\-* #,##0.000000000000000_р_._-;_-* &quot;-&quot;??_р_.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0000000"/>
    <numFmt numFmtId="190" formatCode="0.000000000"/>
    <numFmt numFmtId="191" formatCode="#,##0.000"/>
    <numFmt numFmtId="192" formatCode="#,##0.0000"/>
    <numFmt numFmtId="193" formatCode="#,##0.00000"/>
    <numFmt numFmtId="194" formatCode="0.000E+00"/>
    <numFmt numFmtId="195" formatCode="0.0000E+00"/>
    <numFmt numFmtId="196" formatCode="0.00000E+00"/>
    <numFmt numFmtId="197" formatCode="0.000000E+00"/>
    <numFmt numFmtId="198" formatCode="0.0000000E+00"/>
    <numFmt numFmtId="199" formatCode="0.00000"/>
    <numFmt numFmtId="200" formatCode="#,##0.000000"/>
    <numFmt numFmtId="201" formatCode="#,##0.0000000"/>
    <numFmt numFmtId="202" formatCode="#,##0.00000000"/>
    <numFmt numFmtId="203" formatCode="#,##0.000000000"/>
    <numFmt numFmtId="204" formatCode="0.0000000"/>
    <numFmt numFmtId="205" formatCode="_-* #,##0.000_р_._-;\-* #,##0.000_р_._-;_-* &quot;-&quot;??_р_._-;_-@_-"/>
    <numFmt numFmtId="206" formatCode="_-* #,##0.0_р_._-;\-* #,##0.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b/>
      <sz val="18"/>
      <name val="Arial"/>
      <family val="0"/>
    </font>
    <font>
      <b/>
      <sz val="10"/>
      <color indexed="12"/>
      <name val="Arial Cyr"/>
      <family val="2"/>
    </font>
    <font>
      <sz val="10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1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188" fontId="0" fillId="0" borderId="2">
      <alignment/>
      <protection locked="0"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4" fillId="2" borderId="2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 locked="0"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2" fontId="4" fillId="0" borderId="3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right" vertical="center" wrapText="1"/>
    </xf>
    <xf numFmtId="165" fontId="14" fillId="0" borderId="0" xfId="0" applyNumberFormat="1" applyFont="1" applyAlignment="1">
      <alignment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 horizontal="center" vertical="top" wrapText="1"/>
    </xf>
    <xf numFmtId="0" fontId="4" fillId="0" borderId="0" xfId="37" applyFont="1" applyAlignment="1">
      <alignment horizontal="center" wrapText="1"/>
      <protection/>
    </xf>
    <xf numFmtId="0" fontId="13" fillId="0" borderId="3" xfId="0" applyFont="1" applyBorder="1" applyAlignment="1">
      <alignment vertical="top" wrapText="1"/>
    </xf>
    <xf numFmtId="4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/>
    </xf>
    <xf numFmtId="2" fontId="14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4" fontId="13" fillId="0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wrapText="1"/>
    </xf>
    <xf numFmtId="4" fontId="9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top" wrapText="1"/>
    </xf>
    <xf numFmtId="3" fontId="9" fillId="0" borderId="3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vertical="top" wrapText="1"/>
    </xf>
    <xf numFmtId="1" fontId="15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2" fontId="13" fillId="0" borderId="3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left" vertical="top" wrapText="1"/>
    </xf>
    <xf numFmtId="4" fontId="13" fillId="0" borderId="3" xfId="0" applyNumberFormat="1" applyFont="1" applyBorder="1" applyAlignment="1">
      <alignment horizontal="center" wrapText="1"/>
    </xf>
    <xf numFmtId="4" fontId="13" fillId="0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/>
    </xf>
    <xf numFmtId="2" fontId="18" fillId="0" borderId="5" xfId="0" applyNumberFormat="1" applyFont="1" applyBorder="1" applyAlignment="1">
      <alignment horizontal="right" vertical="center" wrapText="1"/>
    </xf>
    <xf numFmtId="172" fontId="13" fillId="0" borderId="0" xfId="0" applyNumberFormat="1" applyFont="1" applyAlignment="1">
      <alignment/>
    </xf>
    <xf numFmtId="172" fontId="18" fillId="0" borderId="0" xfId="0" applyNumberFormat="1" applyFont="1" applyFill="1" applyBorder="1" applyAlignment="1">
      <alignment horizontal="center"/>
    </xf>
    <xf numFmtId="172" fontId="1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3" fillId="0" borderId="3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center"/>
    </xf>
    <xf numFmtId="169" fontId="9" fillId="0" borderId="3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171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4" fontId="9" fillId="0" borderId="6" xfId="0" applyNumberFormat="1" applyFont="1" applyFill="1" applyBorder="1" applyAlignment="1">
      <alignment horizontal="right" vertical="center"/>
    </xf>
    <xf numFmtId="181" fontId="13" fillId="0" borderId="0" xfId="4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2" fontId="18" fillId="0" borderId="0" xfId="0" applyNumberFormat="1" applyFont="1" applyFill="1" applyBorder="1" applyAlignment="1">
      <alignment horizontal="left" indent="1"/>
    </xf>
    <xf numFmtId="1" fontId="3" fillId="0" borderId="0" xfId="0" applyNumberFormat="1" applyFont="1" applyFill="1" applyBorder="1" applyAlignment="1">
      <alignment horizontal="left" indent="1"/>
    </xf>
    <xf numFmtId="175" fontId="18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71" fontId="18" fillId="0" borderId="0" xfId="0" applyNumberFormat="1" applyFont="1" applyBorder="1" applyAlignment="1">
      <alignment horizontal="center"/>
    </xf>
    <xf numFmtId="183" fontId="13" fillId="0" borderId="0" xfId="40" applyNumberFormat="1" applyFont="1" applyBorder="1" applyAlignment="1">
      <alignment/>
    </xf>
    <xf numFmtId="169" fontId="13" fillId="0" borderId="3" xfId="0" applyNumberFormat="1" applyFont="1" applyBorder="1" applyAlignment="1">
      <alignment horizontal="center" wrapText="1"/>
    </xf>
    <xf numFmtId="171" fontId="13" fillId="0" borderId="0" xfId="0" applyNumberFormat="1" applyFont="1" applyBorder="1" applyAlignment="1">
      <alignment/>
    </xf>
    <xf numFmtId="182" fontId="18" fillId="0" borderId="0" xfId="40" applyNumberFormat="1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170" fontId="13" fillId="0" borderId="0" xfId="0" applyNumberFormat="1" applyFont="1" applyBorder="1" applyAlignment="1">
      <alignment/>
    </xf>
    <xf numFmtId="1" fontId="9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vertical="top"/>
    </xf>
    <xf numFmtId="3" fontId="9" fillId="0" borderId="3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2" fillId="0" borderId="0" xfId="36" applyFont="1" applyAlignment="1">
      <alignment wrapText="1"/>
      <protection/>
    </xf>
    <xf numFmtId="0" fontId="20" fillId="0" borderId="0" xfId="36">
      <alignment/>
      <protection/>
    </xf>
    <xf numFmtId="0" fontId="27" fillId="0" borderId="0" xfId="36" applyFont="1" applyAlignment="1">
      <alignment horizontal="left" wrapText="1"/>
      <protection/>
    </xf>
    <xf numFmtId="0" fontId="4" fillId="0" borderId="0" xfId="36" applyFont="1" applyBorder="1" applyAlignment="1">
      <alignment horizontal="right" wrapText="1"/>
      <protection/>
    </xf>
    <xf numFmtId="0" fontId="4" fillId="0" borderId="0" xfId="36" applyFont="1" applyAlignment="1">
      <alignment wrapText="1"/>
      <protection/>
    </xf>
    <xf numFmtId="0" fontId="4" fillId="0" borderId="0" xfId="36" applyFont="1" applyAlignment="1">
      <alignment horizontal="right" wrapText="1"/>
      <protection/>
    </xf>
    <xf numFmtId="0" fontId="4" fillId="0" borderId="0" xfId="36" applyFont="1" applyAlignment="1">
      <alignment horizontal="center" wrapText="1"/>
      <protection/>
    </xf>
    <xf numFmtId="0" fontId="2" fillId="0" borderId="3" xfId="36" applyFont="1" applyBorder="1" applyAlignment="1">
      <alignment wrapText="1"/>
      <protection/>
    </xf>
    <xf numFmtId="0" fontId="5" fillId="0" borderId="3" xfId="36" applyFont="1" applyBorder="1" applyAlignment="1">
      <alignment horizontal="center" vertical="top" wrapText="1"/>
      <protection/>
    </xf>
    <xf numFmtId="2" fontId="28" fillId="0" borderId="0" xfId="36" applyNumberFormat="1" applyFont="1" applyAlignment="1">
      <alignment wrapText="1"/>
      <protection/>
    </xf>
    <xf numFmtId="0" fontId="29" fillId="0" borderId="0" xfId="36" applyFont="1">
      <alignment/>
      <protection/>
    </xf>
    <xf numFmtId="0" fontId="2" fillId="0" borderId="3" xfId="36" applyFont="1" applyBorder="1" applyAlignment="1">
      <alignment horizontal="center" vertical="top" wrapText="1"/>
      <protection/>
    </xf>
    <xf numFmtId="0" fontId="2" fillId="0" borderId="3" xfId="36" applyFont="1" applyBorder="1" applyAlignment="1">
      <alignment vertical="top" wrapText="1"/>
      <protection/>
    </xf>
    <xf numFmtId="0" fontId="28" fillId="0" borderId="0" xfId="36" applyFont="1" applyAlignment="1">
      <alignment wrapText="1"/>
      <protection/>
    </xf>
    <xf numFmtId="0" fontId="2" fillId="0" borderId="3" xfId="36" applyFont="1" applyBorder="1" applyAlignment="1">
      <alignment horizontal="left" vertical="top" wrapText="1"/>
      <protection/>
    </xf>
    <xf numFmtId="4" fontId="2" fillId="0" borderId="3" xfId="36" applyNumberFormat="1" applyFont="1" applyBorder="1" applyAlignment="1">
      <alignment horizontal="right" vertical="center" wrapText="1"/>
      <protection/>
    </xf>
    <xf numFmtId="4" fontId="2" fillId="0" borderId="0" xfId="36" applyNumberFormat="1" applyFont="1" applyAlignment="1">
      <alignment wrapText="1"/>
      <protection/>
    </xf>
    <xf numFmtId="0" fontId="2" fillId="0" borderId="7" xfId="36" applyFont="1" applyBorder="1" applyAlignment="1">
      <alignment horizontal="left" wrapText="1"/>
      <protection/>
    </xf>
    <xf numFmtId="0" fontId="2" fillId="0" borderId="7" xfId="36" applyFont="1" applyBorder="1" applyAlignment="1">
      <alignment horizontal="center" wrapText="1"/>
      <protection/>
    </xf>
    <xf numFmtId="0" fontId="4" fillId="0" borderId="3" xfId="36" applyFont="1" applyBorder="1" applyAlignment="1">
      <alignment horizontal="center" vertical="top" wrapText="1"/>
      <protection/>
    </xf>
    <xf numFmtId="0" fontId="4" fillId="0" borderId="3" xfId="36" applyFont="1" applyBorder="1" applyAlignment="1">
      <alignment horizontal="left" vertical="top" wrapText="1"/>
      <protection/>
    </xf>
    <xf numFmtId="0" fontId="30" fillId="0" borderId="0" xfId="36" applyFont="1" applyAlignment="1">
      <alignment wrapText="1"/>
      <protection/>
    </xf>
    <xf numFmtId="0" fontId="2" fillId="0" borderId="0" xfId="36" applyFont="1" applyBorder="1" applyAlignment="1">
      <alignment wrapText="1"/>
      <protection/>
    </xf>
    <xf numFmtId="0" fontId="4" fillId="0" borderId="0" xfId="36" applyFont="1" applyBorder="1" applyAlignment="1">
      <alignment wrapText="1"/>
      <protection/>
    </xf>
    <xf numFmtId="3" fontId="30" fillId="0" borderId="0" xfId="36" applyNumberFormat="1" applyFont="1" applyBorder="1" applyAlignment="1">
      <alignment vertical="top" wrapText="1"/>
      <protection/>
    </xf>
    <xf numFmtId="1" fontId="3" fillId="0" borderId="0" xfId="36" applyNumberFormat="1" applyFont="1" applyFill="1" applyBorder="1" applyAlignment="1">
      <alignment horizontal="center"/>
      <protection/>
    </xf>
    <xf numFmtId="2" fontId="20" fillId="0" borderId="0" xfId="36" applyNumberFormat="1" applyFill="1" applyBorder="1" applyAlignment="1">
      <alignment horizontal="center"/>
      <protection/>
    </xf>
    <xf numFmtId="0" fontId="4" fillId="0" borderId="4" xfId="36" applyFont="1" applyBorder="1" applyAlignment="1">
      <alignment wrapText="1"/>
      <protection/>
    </xf>
    <xf numFmtId="0" fontId="2" fillId="0" borderId="4" xfId="36" applyFont="1" applyBorder="1" applyAlignment="1">
      <alignment wrapText="1"/>
      <protection/>
    </xf>
    <xf numFmtId="0" fontId="8" fillId="0" borderId="3" xfId="36" applyFont="1" applyBorder="1" applyAlignment="1">
      <alignment horizontal="center" wrapText="1"/>
      <protection/>
    </xf>
    <xf numFmtId="0" fontId="2" fillId="0" borderId="3" xfId="36" applyFont="1" applyBorder="1" applyAlignment="1">
      <alignment horizontal="center" wrapText="1"/>
      <protection/>
    </xf>
    <xf numFmtId="2" fontId="2" fillId="0" borderId="3" xfId="36" applyNumberFormat="1" applyFont="1" applyFill="1" applyBorder="1" applyAlignment="1">
      <alignment horizontal="center" wrapText="1"/>
      <protection/>
    </xf>
    <xf numFmtId="0" fontId="2" fillId="0" borderId="3" xfId="36" applyFont="1" applyFill="1" applyBorder="1" applyAlignment="1">
      <alignment horizontal="center" wrapText="1"/>
      <protection/>
    </xf>
    <xf numFmtId="0" fontId="4" fillId="0" borderId="3" xfId="36" applyFont="1" applyBorder="1" applyAlignment="1">
      <alignment horizontal="left" wrapText="1"/>
      <protection/>
    </xf>
    <xf numFmtId="0" fontId="4" fillId="0" borderId="3" xfId="36" applyFont="1" applyBorder="1" applyAlignment="1">
      <alignment horizontal="center" wrapText="1"/>
      <protection/>
    </xf>
    <xf numFmtId="0" fontId="4" fillId="0" borderId="3" xfId="36" applyFont="1" applyFill="1" applyBorder="1" applyAlignment="1">
      <alignment horizontal="center"/>
      <protection/>
    </xf>
    <xf numFmtId="2" fontId="4" fillId="0" borderId="3" xfId="36" applyNumberFormat="1" applyFont="1" applyFill="1" applyBorder="1" applyAlignment="1">
      <alignment horizontal="center"/>
      <protection/>
    </xf>
    <xf numFmtId="0" fontId="4" fillId="0" borderId="3" xfId="36" applyFont="1" applyFill="1" applyBorder="1" applyAlignment="1">
      <alignment horizontal="center" wrapText="1"/>
      <protection/>
    </xf>
    <xf numFmtId="0" fontId="2" fillId="0" borderId="0" xfId="36" applyFont="1" applyBorder="1" applyAlignment="1">
      <alignment horizontal="center" wrapText="1"/>
      <protection/>
    </xf>
    <xf numFmtId="3" fontId="4" fillId="0" borderId="0" xfId="36" applyNumberFormat="1" applyFont="1" applyBorder="1" applyAlignment="1">
      <alignment horizontal="center" wrapText="1"/>
      <protection/>
    </xf>
    <xf numFmtId="4" fontId="4" fillId="0" borderId="0" xfId="36" applyNumberFormat="1" applyFont="1" applyBorder="1" applyAlignment="1">
      <alignment horizontal="center" vertical="top" wrapText="1"/>
      <protection/>
    </xf>
    <xf numFmtId="0" fontId="6" fillId="0" borderId="8" xfId="36" applyFont="1" applyBorder="1" applyAlignment="1">
      <alignment/>
      <protection/>
    </xf>
    <xf numFmtId="2" fontId="4" fillId="0" borderId="3" xfId="36" applyNumberFormat="1" applyFont="1" applyBorder="1" applyAlignment="1">
      <alignment wrapText="1"/>
      <protection/>
    </xf>
    <xf numFmtId="0" fontId="7" fillId="0" borderId="3" xfId="36" applyFont="1" applyBorder="1" applyAlignment="1">
      <alignment vertical="top" wrapText="1"/>
      <protection/>
    </xf>
    <xf numFmtId="2" fontId="5" fillId="0" borderId="8" xfId="36" applyNumberFormat="1" applyFont="1" applyBorder="1" applyAlignment="1">
      <alignment vertical="top" wrapText="1"/>
      <protection/>
    </xf>
    <xf numFmtId="2" fontId="4" fillId="0" borderId="3" xfId="36" applyNumberFormat="1" applyFont="1" applyBorder="1" applyAlignment="1">
      <alignment horizontal="right" wrapText="1"/>
      <protection/>
    </xf>
    <xf numFmtId="2" fontId="2" fillId="0" borderId="3" xfId="36" applyNumberFormat="1" applyFont="1" applyBorder="1" applyAlignment="1">
      <alignment wrapText="1"/>
      <protection/>
    </xf>
    <xf numFmtId="0" fontId="4" fillId="0" borderId="3" xfId="36" applyFont="1" applyBorder="1" applyAlignment="1">
      <alignment wrapText="1"/>
      <protection/>
    </xf>
    <xf numFmtId="0" fontId="2" fillId="0" borderId="3" xfId="36" applyFont="1" applyBorder="1" applyAlignment="1">
      <alignment horizontal="left" vertical="top"/>
      <protection/>
    </xf>
    <xf numFmtId="165" fontId="28" fillId="0" borderId="0" xfId="36" applyNumberFormat="1" applyFont="1" applyAlignment="1">
      <alignment wrapText="1"/>
      <protection/>
    </xf>
    <xf numFmtId="4" fontId="29" fillId="0" borderId="0" xfId="36" applyNumberFormat="1" applyFont="1">
      <alignment/>
      <protection/>
    </xf>
    <xf numFmtId="0" fontId="2" fillId="0" borderId="7" xfId="36" applyFont="1" applyBorder="1" applyAlignment="1">
      <alignment wrapText="1"/>
      <protection/>
    </xf>
    <xf numFmtId="0" fontId="2" fillId="0" borderId="3" xfId="36" applyFont="1" applyBorder="1" applyAlignment="1">
      <alignment vertical="top"/>
      <protection/>
    </xf>
    <xf numFmtId="0" fontId="20" fillId="0" borderId="0" xfId="37">
      <alignment/>
      <protection/>
    </xf>
    <xf numFmtId="0" fontId="20" fillId="0" borderId="0" xfId="37" applyFill="1" applyBorder="1">
      <alignment/>
      <protection/>
    </xf>
    <xf numFmtId="0" fontId="2" fillId="0" borderId="0" xfId="37" applyFont="1" applyAlignment="1">
      <alignment wrapText="1"/>
      <protection/>
    </xf>
    <xf numFmtId="0" fontId="27" fillId="0" borderId="0" xfId="37" applyFont="1" applyAlignment="1">
      <alignment horizontal="left" wrapText="1"/>
      <protection/>
    </xf>
    <xf numFmtId="0" fontId="4" fillId="0" borderId="0" xfId="37" applyFont="1" applyBorder="1" applyAlignment="1">
      <alignment horizontal="right" wrapText="1"/>
      <protection/>
    </xf>
    <xf numFmtId="0" fontId="4" fillId="0" borderId="0" xfId="37" applyFont="1" applyAlignment="1">
      <alignment wrapText="1"/>
      <protection/>
    </xf>
    <xf numFmtId="0" fontId="4" fillId="0" borderId="0" xfId="37" applyFont="1" applyAlignment="1">
      <alignment horizontal="right" wrapText="1"/>
      <protection/>
    </xf>
    <xf numFmtId="0" fontId="2" fillId="0" borderId="3" xfId="37" applyFont="1" applyBorder="1" applyAlignment="1">
      <alignment wrapText="1"/>
      <protection/>
    </xf>
    <xf numFmtId="0" fontId="5" fillId="0" borderId="3" xfId="37" applyFont="1" applyBorder="1" applyAlignment="1">
      <alignment horizontal="center" vertical="top" wrapText="1"/>
      <protection/>
    </xf>
    <xf numFmtId="0" fontId="2" fillId="0" borderId="3" xfId="37" applyFont="1" applyBorder="1" applyAlignment="1">
      <alignment horizontal="center" vertical="top" wrapText="1"/>
      <protection/>
    </xf>
    <xf numFmtId="0" fontId="2" fillId="0" borderId="3" xfId="37" applyFont="1" applyBorder="1" applyAlignment="1">
      <alignment horizontal="left" vertical="top" wrapText="1"/>
      <protection/>
    </xf>
    <xf numFmtId="0" fontId="2" fillId="0" borderId="3" xfId="37" applyFont="1" applyBorder="1" applyAlignment="1">
      <alignment vertical="top" wrapText="1"/>
      <protection/>
    </xf>
    <xf numFmtId="165" fontId="28" fillId="0" borderId="0" xfId="37" applyNumberFormat="1" applyFont="1" applyAlignment="1">
      <alignment wrapText="1"/>
      <protection/>
    </xf>
    <xf numFmtId="4" fontId="28" fillId="0" borderId="0" xfId="37" applyNumberFormat="1" applyFont="1" applyAlignment="1">
      <alignment wrapText="1"/>
      <protection/>
    </xf>
    <xf numFmtId="2" fontId="28" fillId="0" borderId="0" xfId="37" applyNumberFormat="1" applyFont="1" applyAlignment="1">
      <alignment wrapText="1"/>
      <protection/>
    </xf>
    <xf numFmtId="4" fontId="2" fillId="0" borderId="3" xfId="37" applyNumberFormat="1" applyFont="1" applyBorder="1" applyAlignment="1">
      <alignment horizontal="right" vertical="center" wrapText="1"/>
      <protection/>
    </xf>
    <xf numFmtId="0" fontId="28" fillId="0" borderId="0" xfId="37" applyFont="1" applyAlignment="1">
      <alignment wrapText="1"/>
      <protection/>
    </xf>
    <xf numFmtId="0" fontId="29" fillId="0" borderId="0" xfId="37" applyFont="1">
      <alignment/>
      <protection/>
    </xf>
    <xf numFmtId="0" fontId="4" fillId="0" borderId="7" xfId="37" applyFont="1" applyBorder="1" applyAlignment="1">
      <alignment/>
      <protection/>
    </xf>
    <xf numFmtId="0" fontId="4" fillId="0" borderId="9" xfId="37" applyFont="1" applyBorder="1" applyAlignment="1">
      <alignment/>
      <protection/>
    </xf>
    <xf numFmtId="0" fontId="4" fillId="0" borderId="8" xfId="37" applyFont="1" applyBorder="1" applyAlignment="1">
      <alignment/>
      <protection/>
    </xf>
    <xf numFmtId="0" fontId="2" fillId="0" borderId="3" xfId="37" applyFont="1" applyBorder="1" applyAlignment="1">
      <alignment horizontal="left" vertical="top"/>
      <protection/>
    </xf>
    <xf numFmtId="4" fontId="29" fillId="0" borderId="0" xfId="37" applyNumberFormat="1" applyFont="1">
      <alignment/>
      <protection/>
    </xf>
    <xf numFmtId="4" fontId="2" fillId="0" borderId="0" xfId="37" applyNumberFormat="1" applyFont="1" applyAlignment="1">
      <alignment wrapText="1"/>
      <protection/>
    </xf>
    <xf numFmtId="0" fontId="2" fillId="0" borderId="7" xfId="37" applyFont="1" applyBorder="1" applyAlignment="1">
      <alignment wrapText="1"/>
      <protection/>
    </xf>
    <xf numFmtId="0" fontId="2" fillId="0" borderId="7" xfId="37" applyFont="1" applyBorder="1" applyAlignment="1">
      <alignment horizontal="center" wrapText="1"/>
      <protection/>
    </xf>
    <xf numFmtId="0" fontId="2" fillId="0" borderId="7" xfId="37" applyFont="1" applyBorder="1" applyAlignment="1">
      <alignment horizontal="left" vertical="top" wrapText="1"/>
      <protection/>
    </xf>
    <xf numFmtId="2" fontId="20" fillId="0" borderId="0" xfId="37" applyNumberFormat="1">
      <alignment/>
      <protection/>
    </xf>
    <xf numFmtId="0" fontId="4" fillId="0" borderId="3" xfId="37" applyFont="1" applyBorder="1" applyAlignment="1">
      <alignment horizontal="center" vertical="top" wrapText="1"/>
      <protection/>
    </xf>
    <xf numFmtId="0" fontId="4" fillId="0" borderId="3" xfId="37" applyFont="1" applyBorder="1" applyAlignment="1">
      <alignment horizontal="left" vertical="top" wrapText="1"/>
      <protection/>
    </xf>
    <xf numFmtId="0" fontId="30" fillId="0" borderId="0" xfId="37" applyFont="1" applyAlignment="1">
      <alignment wrapText="1"/>
      <protection/>
    </xf>
    <xf numFmtId="0" fontId="2" fillId="0" borderId="0" xfId="37" applyFont="1" applyBorder="1" applyAlignment="1">
      <alignment wrapText="1"/>
      <protection/>
    </xf>
    <xf numFmtId="0" fontId="4" fillId="0" borderId="0" xfId="37" applyFont="1" applyBorder="1" applyAlignment="1">
      <alignment wrapText="1"/>
      <protection/>
    </xf>
    <xf numFmtId="3" fontId="30" fillId="0" borderId="0" xfId="37" applyNumberFormat="1" applyFont="1" applyBorder="1" applyAlignment="1">
      <alignment vertical="top" wrapText="1"/>
      <protection/>
    </xf>
    <xf numFmtId="1" fontId="3" fillId="0" borderId="0" xfId="37" applyNumberFormat="1" applyFont="1" applyFill="1" applyBorder="1" applyAlignment="1">
      <alignment horizontal="center"/>
      <protection/>
    </xf>
    <xf numFmtId="2" fontId="20" fillId="0" borderId="0" xfId="37" applyNumberFormat="1" applyFill="1" applyBorder="1" applyAlignment="1">
      <alignment horizontal="center"/>
      <protection/>
    </xf>
    <xf numFmtId="0" fontId="4" fillId="0" borderId="4" xfId="37" applyFont="1" applyBorder="1" applyAlignment="1">
      <alignment wrapText="1"/>
      <protection/>
    </xf>
    <xf numFmtId="0" fontId="2" fillId="0" borderId="4" xfId="37" applyFont="1" applyBorder="1" applyAlignment="1">
      <alignment wrapText="1"/>
      <protection/>
    </xf>
    <xf numFmtId="0" fontId="8" fillId="0" borderId="3" xfId="37" applyFont="1" applyBorder="1" applyAlignment="1">
      <alignment horizontal="center" wrapText="1"/>
      <protection/>
    </xf>
    <xf numFmtId="0" fontId="2" fillId="0" borderId="3" xfId="37" applyFont="1" applyBorder="1" applyAlignment="1">
      <alignment horizontal="center" wrapText="1"/>
      <protection/>
    </xf>
    <xf numFmtId="2" fontId="2" fillId="0" borderId="3" xfId="37" applyNumberFormat="1" applyFont="1" applyFill="1" applyBorder="1" applyAlignment="1">
      <alignment horizontal="center" wrapText="1"/>
      <protection/>
    </xf>
    <xf numFmtId="0" fontId="2" fillId="0" borderId="3" xfId="37" applyFont="1" applyFill="1" applyBorder="1" applyAlignment="1">
      <alignment horizontal="center" wrapText="1"/>
      <protection/>
    </xf>
    <xf numFmtId="0" fontId="2" fillId="0" borderId="3" xfId="37" applyFont="1" applyBorder="1" applyAlignment="1">
      <alignment horizontal="left" wrapText="1"/>
      <protection/>
    </xf>
    <xf numFmtId="0" fontId="4" fillId="0" borderId="3" xfId="37" applyFont="1" applyBorder="1" applyAlignment="1">
      <alignment horizontal="left" wrapText="1"/>
      <protection/>
    </xf>
    <xf numFmtId="0" fontId="4" fillId="0" borderId="3" xfId="37" applyFont="1" applyBorder="1" applyAlignment="1">
      <alignment horizontal="center" wrapText="1"/>
      <protection/>
    </xf>
    <xf numFmtId="0" fontId="4" fillId="0" borderId="3" xfId="37" applyFont="1" applyFill="1" applyBorder="1" applyAlignment="1">
      <alignment horizontal="center"/>
      <protection/>
    </xf>
    <xf numFmtId="2" fontId="4" fillId="0" borderId="3" xfId="37" applyNumberFormat="1" applyFont="1" applyFill="1" applyBorder="1" applyAlignment="1">
      <alignment horizontal="center"/>
      <protection/>
    </xf>
    <xf numFmtId="0" fontId="4" fillId="0" borderId="3" xfId="37" applyFont="1" applyFill="1" applyBorder="1" applyAlignment="1">
      <alignment horizontal="center" wrapText="1"/>
      <protection/>
    </xf>
    <xf numFmtId="0" fontId="2" fillId="0" borderId="0" xfId="37" applyFont="1" applyBorder="1" applyAlignment="1">
      <alignment horizontal="center" wrapText="1"/>
      <protection/>
    </xf>
    <xf numFmtId="3" fontId="4" fillId="0" borderId="0" xfId="37" applyNumberFormat="1" applyFont="1" applyBorder="1" applyAlignment="1">
      <alignment horizontal="center" wrapText="1"/>
      <protection/>
    </xf>
    <xf numFmtId="4" fontId="4" fillId="0" borderId="0" xfId="37" applyNumberFormat="1" applyFont="1" applyBorder="1" applyAlignment="1">
      <alignment horizontal="center" vertical="top" wrapText="1"/>
      <protection/>
    </xf>
    <xf numFmtId="0" fontId="6" fillId="0" borderId="8" xfId="37" applyFont="1" applyBorder="1" applyAlignment="1">
      <alignment/>
      <protection/>
    </xf>
    <xf numFmtId="2" fontId="4" fillId="0" borderId="3" xfId="37" applyNumberFormat="1" applyFont="1" applyBorder="1" applyAlignment="1">
      <alignment wrapText="1"/>
      <protection/>
    </xf>
    <xf numFmtId="0" fontId="7" fillId="0" borderId="3" xfId="37" applyFont="1" applyBorder="1" applyAlignment="1">
      <alignment vertical="top" wrapText="1"/>
      <protection/>
    </xf>
    <xf numFmtId="0" fontId="7" fillId="0" borderId="3" xfId="37" applyFont="1" applyBorder="1" applyAlignment="1">
      <alignment horizontal="center" vertical="top" wrapText="1"/>
      <protection/>
    </xf>
    <xf numFmtId="2" fontId="2" fillId="0" borderId="3" xfId="37" applyNumberFormat="1" applyFont="1" applyBorder="1" applyAlignment="1">
      <alignment wrapText="1"/>
      <protection/>
    </xf>
    <xf numFmtId="2" fontId="5" fillId="0" borderId="8" xfId="37" applyNumberFormat="1" applyFont="1" applyBorder="1" applyAlignment="1">
      <alignment vertical="top" wrapText="1"/>
      <protection/>
    </xf>
    <xf numFmtId="2" fontId="4" fillId="0" borderId="3" xfId="37" applyNumberFormat="1" applyFont="1" applyBorder="1" applyAlignment="1">
      <alignment horizontal="right" wrapText="1"/>
      <protection/>
    </xf>
    <xf numFmtId="0" fontId="7" fillId="0" borderId="3" xfId="37" applyFont="1" applyBorder="1" applyAlignment="1">
      <alignment horizontal="left" vertical="top" wrapText="1"/>
      <protection/>
    </xf>
    <xf numFmtId="0" fontId="2" fillId="0" borderId="3" xfId="37" applyFont="1" applyBorder="1" applyAlignment="1">
      <alignment vertical="top"/>
      <protection/>
    </xf>
    <xf numFmtId="0" fontId="4" fillId="0" borderId="3" xfId="37" applyFont="1" applyBorder="1" applyAlignment="1">
      <alignment wrapText="1"/>
      <protection/>
    </xf>
    <xf numFmtId="0" fontId="6" fillId="0" borderId="3" xfId="37" applyFont="1" applyBorder="1">
      <alignment/>
      <protection/>
    </xf>
    <xf numFmtId="0" fontId="6" fillId="0" borderId="3" xfId="37" applyFont="1" applyBorder="1" applyAlignment="1">
      <alignment horizontal="center"/>
      <protection/>
    </xf>
    <xf numFmtId="2" fontId="6" fillId="0" borderId="3" xfId="37" applyNumberFormat="1" applyFont="1" applyBorder="1" applyAlignment="1">
      <alignment horizontal="center"/>
      <protection/>
    </xf>
    <xf numFmtId="0" fontId="7" fillId="0" borderId="3" xfId="37" applyFont="1" applyBorder="1" applyAlignment="1">
      <alignment horizontal="center"/>
      <protection/>
    </xf>
    <xf numFmtId="0" fontId="7" fillId="0" borderId="3" xfId="37" applyFont="1" applyBorder="1" applyAlignment="1">
      <alignment horizontal="left" vertical="top"/>
      <protection/>
    </xf>
    <xf numFmtId="0" fontId="7" fillId="0" borderId="3" xfId="37" applyFont="1" applyBorder="1" applyAlignment="1">
      <alignment horizontal="left"/>
      <protection/>
    </xf>
    <xf numFmtId="165" fontId="2" fillId="0" borderId="0" xfId="37" applyNumberFormat="1" applyFont="1" applyAlignment="1">
      <alignment wrapText="1"/>
      <protection/>
    </xf>
    <xf numFmtId="3" fontId="4" fillId="0" borderId="3" xfId="37" applyNumberFormat="1" applyFont="1" applyBorder="1" applyAlignment="1">
      <alignment horizontal="center" vertical="center" wrapText="1"/>
      <protection/>
    </xf>
    <xf numFmtId="4" fontId="4" fillId="0" borderId="3" xfId="37" applyNumberFormat="1" applyFont="1" applyBorder="1" applyAlignment="1">
      <alignment horizontal="center" vertical="center" wrapText="1"/>
      <protection/>
    </xf>
    <xf numFmtId="2" fontId="7" fillId="0" borderId="3" xfId="37" applyNumberFormat="1" applyFont="1" applyBorder="1" applyAlignment="1">
      <alignment horizontal="center" vertical="top" wrapText="1"/>
      <protection/>
    </xf>
    <xf numFmtId="2" fontId="2" fillId="0" borderId="3" xfId="37" applyNumberFormat="1" applyFont="1" applyBorder="1" applyAlignment="1">
      <alignment horizontal="center"/>
      <protection/>
    </xf>
    <xf numFmtId="2" fontId="4" fillId="0" borderId="3" xfId="37" applyNumberFormat="1" applyFont="1" applyFill="1" applyBorder="1" applyAlignment="1">
      <alignment horizontal="center" wrapText="1"/>
      <protection/>
    </xf>
    <xf numFmtId="3" fontId="6" fillId="0" borderId="0" xfId="37" applyNumberFormat="1" applyFont="1">
      <alignment/>
      <protection/>
    </xf>
    <xf numFmtId="0" fontId="20" fillId="0" borderId="9" xfId="36" applyBorder="1" applyAlignment="1">
      <alignment vertical="top" wrapText="1"/>
      <protection/>
    </xf>
    <xf numFmtId="0" fontId="20" fillId="0" borderId="8" xfId="36" applyBorder="1" applyAlignment="1">
      <alignment vertical="top" wrapText="1"/>
      <protection/>
    </xf>
    <xf numFmtId="0" fontId="16" fillId="0" borderId="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4" fillId="0" borderId="0" xfId="36" applyFont="1" applyAlignment="1">
      <alignment horizontal="center" wrapText="1"/>
      <protection/>
    </xf>
    <xf numFmtId="0" fontId="5" fillId="0" borderId="7" xfId="36" applyFont="1" applyBorder="1" applyAlignment="1">
      <alignment horizontal="center" vertical="top" wrapText="1"/>
      <protection/>
    </xf>
    <xf numFmtId="0" fontId="20" fillId="0" borderId="9" xfId="36" applyBorder="1" applyAlignment="1">
      <alignment horizontal="center"/>
      <protection/>
    </xf>
    <xf numFmtId="0" fontId="20" fillId="0" borderId="8" xfId="36" applyBorder="1" applyAlignment="1">
      <alignment horizontal="center"/>
      <protection/>
    </xf>
    <xf numFmtId="0" fontId="5" fillId="0" borderId="7" xfId="36" applyFont="1" applyBorder="1" applyAlignment="1">
      <alignment vertical="top" wrapText="1"/>
      <protection/>
    </xf>
    <xf numFmtId="1" fontId="9" fillId="0" borderId="0" xfId="0" applyNumberFormat="1" applyFont="1" applyFill="1" applyBorder="1" applyAlignment="1">
      <alignment horizontal="center"/>
    </xf>
    <xf numFmtId="4" fontId="4" fillId="0" borderId="3" xfId="36" applyNumberFormat="1" applyFont="1" applyBorder="1" applyAlignment="1">
      <alignment horizontal="right" vertical="center" wrapText="1"/>
      <protection/>
    </xf>
    <xf numFmtId="3" fontId="4" fillId="0" borderId="3" xfId="36" applyNumberFormat="1" applyFont="1" applyBorder="1" applyAlignment="1">
      <alignment horizontal="right" vertical="center" wrapText="1"/>
      <protection/>
    </xf>
    <xf numFmtId="4" fontId="4" fillId="0" borderId="0" xfId="36" applyNumberFormat="1" applyFont="1" applyBorder="1" applyAlignment="1">
      <alignment horizontal="right" vertical="top" wrapText="1"/>
      <protection/>
    </xf>
    <xf numFmtId="2" fontId="13" fillId="0" borderId="0" xfId="0" applyNumberFormat="1" applyFont="1" applyFill="1" applyBorder="1" applyAlignment="1">
      <alignment horizontal="center"/>
    </xf>
    <xf numFmtId="4" fontId="4" fillId="0" borderId="0" xfId="36" applyNumberFormat="1" applyFont="1" applyBorder="1" applyAlignment="1">
      <alignment horizontal="right" vertical="center" wrapText="1"/>
      <protection/>
    </xf>
    <xf numFmtId="198" fontId="20" fillId="0" borderId="0" xfId="36" applyNumberFormat="1">
      <alignment/>
      <protection/>
    </xf>
    <xf numFmtId="1" fontId="4" fillId="0" borderId="3" xfId="36" applyNumberFormat="1" applyFont="1" applyFill="1" applyBorder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4" fontId="4" fillId="0" borderId="3" xfId="37" applyNumberFormat="1" applyFont="1" applyBorder="1" applyAlignment="1">
      <alignment horizontal="right" vertical="center" wrapText="1"/>
      <protection/>
    </xf>
    <xf numFmtId="4" fontId="4" fillId="0" borderId="0" xfId="37" applyNumberFormat="1" applyFont="1" applyBorder="1" applyAlignment="1">
      <alignment horizontal="right" vertical="center" wrapText="1"/>
      <protection/>
    </xf>
    <xf numFmtId="4" fontId="4" fillId="0" borderId="0" xfId="37" applyNumberFormat="1" applyFont="1" applyBorder="1" applyAlignment="1">
      <alignment horizontal="left" vertical="center" wrapText="1"/>
      <protection/>
    </xf>
    <xf numFmtId="2" fontId="5" fillId="0" borderId="0" xfId="37" applyNumberFormat="1" applyFont="1" applyBorder="1" applyAlignment="1">
      <alignment horizontal="right"/>
      <protection/>
    </xf>
    <xf numFmtId="191" fontId="4" fillId="0" borderId="3" xfId="37" applyNumberFormat="1" applyFont="1" applyBorder="1" applyAlignment="1">
      <alignment horizontal="center" vertical="center" wrapText="1"/>
      <protection/>
    </xf>
    <xf numFmtId="2" fontId="6" fillId="0" borderId="8" xfId="37" applyNumberFormat="1" applyFont="1" applyBorder="1" applyAlignment="1">
      <alignment/>
      <protection/>
    </xf>
    <xf numFmtId="1" fontId="4" fillId="0" borderId="3" xfId="37" applyNumberFormat="1" applyFont="1" applyBorder="1" applyAlignment="1">
      <alignment wrapText="1"/>
      <protection/>
    </xf>
    <xf numFmtId="0" fontId="20" fillId="0" borderId="0" xfId="37" applyBorder="1">
      <alignment/>
      <protection/>
    </xf>
    <xf numFmtId="201" fontId="20" fillId="0" borderId="0" xfId="37" applyNumberFormat="1">
      <alignment/>
      <protection/>
    </xf>
    <xf numFmtId="1" fontId="4" fillId="0" borderId="3" xfId="37" applyNumberFormat="1" applyFont="1" applyFill="1" applyBorder="1" applyAlignment="1">
      <alignment horizontal="center"/>
      <protection/>
    </xf>
    <xf numFmtId="204" fontId="20" fillId="0" borderId="0" xfId="37" applyNumberFormat="1">
      <alignment/>
      <protection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" fontId="2" fillId="0" borderId="10" xfId="36" applyNumberFormat="1" applyFont="1" applyBorder="1" applyAlignment="1">
      <alignment horizontal="right" vertical="center" wrapText="1"/>
      <protection/>
    </xf>
    <xf numFmtId="4" fontId="2" fillId="0" borderId="6" xfId="36" applyNumberFormat="1" applyFont="1" applyBorder="1" applyAlignment="1">
      <alignment horizontal="right" vertical="center" wrapText="1"/>
      <protection/>
    </xf>
    <xf numFmtId="0" fontId="4" fillId="0" borderId="7" xfId="36" applyFont="1" applyBorder="1" applyAlignment="1">
      <alignment horizontal="center" wrapText="1"/>
      <protection/>
    </xf>
    <xf numFmtId="0" fontId="20" fillId="0" borderId="9" xfId="36" applyBorder="1" applyAlignment="1">
      <alignment horizontal="center" wrapText="1"/>
      <protection/>
    </xf>
    <xf numFmtId="0" fontId="20" fillId="0" borderId="8" xfId="36" applyBorder="1" applyAlignment="1">
      <alignment horizontal="center" wrapText="1"/>
      <protection/>
    </xf>
    <xf numFmtId="0" fontId="2" fillId="0" borderId="10" xfId="36" applyFont="1" applyBorder="1" applyAlignment="1">
      <alignment horizontal="left" vertical="center" wrapText="1"/>
      <protection/>
    </xf>
    <xf numFmtId="0" fontId="2" fillId="0" borderId="6" xfId="36" applyFont="1" applyBorder="1" applyAlignment="1">
      <alignment horizontal="left" vertical="center" wrapText="1"/>
      <protection/>
    </xf>
    <xf numFmtId="0" fontId="2" fillId="0" borderId="10" xfId="36" applyFont="1" applyBorder="1" applyAlignment="1">
      <alignment horizontal="left" vertical="top" wrapText="1"/>
      <protection/>
    </xf>
    <xf numFmtId="0" fontId="2" fillId="0" borderId="6" xfId="36" applyFont="1" applyBorder="1" applyAlignment="1">
      <alignment horizontal="left" vertical="top" wrapText="1"/>
      <protection/>
    </xf>
    <xf numFmtId="0" fontId="27" fillId="0" borderId="0" xfId="36" applyFont="1" applyAlignment="1">
      <alignment horizontal="center" wrapText="1"/>
      <protection/>
    </xf>
    <xf numFmtId="0" fontId="9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4" fillId="0" borderId="9" xfId="36" applyFont="1" applyBorder="1" applyAlignment="1">
      <alignment horizontal="center" wrapText="1"/>
      <protection/>
    </xf>
    <xf numFmtId="0" fontId="2" fillId="0" borderId="10" xfId="36" applyFont="1" applyBorder="1" applyAlignment="1">
      <alignment horizontal="center" vertical="center" wrapText="1"/>
      <protection/>
    </xf>
    <xf numFmtId="0" fontId="2" fillId="0" borderId="6" xfId="36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7" xfId="37" applyFont="1" applyBorder="1" applyAlignment="1">
      <alignment vertical="top" wrapText="1"/>
      <protection/>
    </xf>
    <xf numFmtId="0" fontId="20" fillId="0" borderId="9" xfId="37" applyBorder="1" applyAlignment="1">
      <alignment vertical="top" wrapText="1"/>
      <protection/>
    </xf>
    <xf numFmtId="0" fontId="20" fillId="0" borderId="8" xfId="37" applyBorder="1" applyAlignment="1">
      <alignment vertical="top" wrapText="1"/>
      <protection/>
    </xf>
    <xf numFmtId="0" fontId="4" fillId="0" borderId="7" xfId="37" applyFont="1" applyBorder="1" applyAlignment="1">
      <alignment horizontal="center" wrapText="1"/>
      <protection/>
    </xf>
    <xf numFmtId="0" fontId="20" fillId="0" borderId="9" xfId="37" applyBorder="1" applyAlignment="1">
      <alignment horizontal="center" wrapText="1"/>
      <protection/>
    </xf>
    <xf numFmtId="0" fontId="20" fillId="0" borderId="8" xfId="37" applyBorder="1" applyAlignment="1">
      <alignment horizontal="center" wrapText="1"/>
      <protection/>
    </xf>
    <xf numFmtId="0" fontId="20" fillId="0" borderId="9" xfId="37" applyBorder="1" applyAlignment="1">
      <alignment/>
      <protection/>
    </xf>
    <xf numFmtId="0" fontId="20" fillId="0" borderId="8" xfId="37" applyBorder="1" applyAlignment="1">
      <alignment/>
      <protection/>
    </xf>
    <xf numFmtId="0" fontId="4" fillId="0" borderId="0" xfId="37" applyFont="1" applyAlignment="1">
      <alignment horizontal="center" wrapText="1"/>
      <protection/>
    </xf>
    <xf numFmtId="0" fontId="5" fillId="0" borderId="7" xfId="37" applyFont="1" applyBorder="1" applyAlignment="1">
      <alignment horizontal="center" wrapText="1"/>
      <protection/>
    </xf>
    <xf numFmtId="0" fontId="4" fillId="0" borderId="9" xfId="37" applyFont="1" applyBorder="1" applyAlignment="1">
      <alignment horizontal="center" wrapText="1"/>
      <protection/>
    </xf>
    <xf numFmtId="0" fontId="2" fillId="0" borderId="10" xfId="37" applyFont="1" applyBorder="1" applyAlignment="1">
      <alignment horizontal="center" vertical="center" wrapText="1"/>
      <protection/>
    </xf>
    <xf numFmtId="0" fontId="2" fillId="0" borderId="6" xfId="37" applyFont="1" applyBorder="1" applyAlignment="1">
      <alignment horizontal="center" vertical="center" wrapText="1"/>
      <protection/>
    </xf>
    <xf numFmtId="0" fontId="2" fillId="0" borderId="10" xfId="37" applyFont="1" applyBorder="1" applyAlignment="1">
      <alignment horizontal="left" vertical="top" wrapText="1"/>
      <protection/>
    </xf>
    <xf numFmtId="0" fontId="2" fillId="0" borderId="6" xfId="37" applyFont="1" applyBorder="1" applyAlignment="1">
      <alignment horizontal="left" vertical="top" wrapText="1"/>
      <protection/>
    </xf>
    <xf numFmtId="4" fontId="2" fillId="0" borderId="10" xfId="37" applyNumberFormat="1" applyFont="1" applyBorder="1" applyAlignment="1">
      <alignment horizontal="right" vertical="center" wrapText="1"/>
      <protection/>
    </xf>
    <xf numFmtId="4" fontId="2" fillId="0" borderId="6" xfId="37" applyNumberFormat="1" applyFont="1" applyBorder="1" applyAlignment="1">
      <alignment horizontal="right" vertical="center" wrapText="1"/>
      <protection/>
    </xf>
    <xf numFmtId="0" fontId="27" fillId="0" borderId="0" xfId="37" applyFont="1" applyAlignment="1">
      <alignment horizontal="center" wrapText="1"/>
      <protection/>
    </xf>
    <xf numFmtId="4" fontId="2" fillId="0" borderId="10" xfId="37" applyNumberFormat="1" applyFont="1" applyBorder="1" applyAlignment="1">
      <alignment horizontal="center" vertical="center" wrapText="1"/>
      <protection/>
    </xf>
    <xf numFmtId="4" fontId="2" fillId="0" borderId="6" xfId="37" applyNumberFormat="1" applyFont="1" applyBorder="1" applyAlignment="1">
      <alignment horizontal="center" vertical="center" wrapText="1"/>
      <protection/>
    </xf>
    <xf numFmtId="0" fontId="9" fillId="0" borderId="0" xfId="36" applyFont="1" applyAlignment="1">
      <alignment horizontal="center" wrapText="1"/>
      <protection/>
    </xf>
    <xf numFmtId="0" fontId="13" fillId="0" borderId="0" xfId="36" applyFont="1" applyAlignment="1">
      <alignment wrapText="1"/>
      <protection/>
    </xf>
    <xf numFmtId="0" fontId="13" fillId="0" borderId="0" xfId="36" applyFont="1">
      <alignment/>
      <protection/>
    </xf>
    <xf numFmtId="0" fontId="9" fillId="0" borderId="0" xfId="36" applyFont="1" applyAlignment="1">
      <alignment horizontal="center" wrapText="1"/>
      <protection/>
    </xf>
    <xf numFmtId="0" fontId="9" fillId="0" borderId="0" xfId="36" applyFont="1" applyBorder="1" applyAlignment="1">
      <alignment horizontal="right" wrapText="1"/>
      <protection/>
    </xf>
    <xf numFmtId="1" fontId="9" fillId="0" borderId="0" xfId="36" applyNumberFormat="1" applyFont="1" applyFill="1" applyBorder="1" applyAlignment="1">
      <alignment horizontal="right"/>
      <protection/>
    </xf>
    <xf numFmtId="0" fontId="9" fillId="0" borderId="0" xfId="36" applyFont="1" applyAlignment="1">
      <alignment wrapText="1"/>
      <protection/>
    </xf>
    <xf numFmtId="0" fontId="9" fillId="0" borderId="0" xfId="36" applyFont="1" applyAlignment="1">
      <alignment horizontal="right" wrapText="1"/>
      <protection/>
    </xf>
    <xf numFmtId="0" fontId="13" fillId="0" borderId="3" xfId="36" applyFont="1" applyBorder="1" applyAlignment="1">
      <alignment wrapText="1"/>
      <protection/>
    </xf>
    <xf numFmtId="0" fontId="16" fillId="0" borderId="3" xfId="36" applyFont="1" applyBorder="1" applyAlignment="1">
      <alignment horizontal="center" vertical="top" wrapText="1"/>
      <protection/>
    </xf>
    <xf numFmtId="0" fontId="13" fillId="0" borderId="0" xfId="36" applyFont="1" applyBorder="1">
      <alignment/>
      <protection/>
    </xf>
    <xf numFmtId="0" fontId="9" fillId="0" borderId="7" xfId="36" applyFont="1" applyBorder="1" applyAlignment="1">
      <alignment horizontal="center" wrapText="1"/>
      <protection/>
    </xf>
    <xf numFmtId="0" fontId="13" fillId="0" borderId="9" xfId="36" applyFont="1" applyBorder="1" applyAlignment="1">
      <alignment horizontal="center" wrapText="1"/>
      <protection/>
    </xf>
    <xf numFmtId="0" fontId="13" fillId="0" borderId="8" xfId="36" applyFont="1" applyBorder="1" applyAlignment="1">
      <alignment horizontal="center" wrapText="1"/>
      <protection/>
    </xf>
    <xf numFmtId="1" fontId="9" fillId="0" borderId="3" xfId="36" applyNumberFormat="1" applyFont="1" applyBorder="1" applyAlignment="1">
      <alignment horizontal="right" wrapText="1"/>
      <protection/>
    </xf>
    <xf numFmtId="2" fontId="9" fillId="0" borderId="3" xfId="36" applyNumberFormat="1" applyFont="1" applyBorder="1" applyAlignment="1">
      <alignment horizontal="right" wrapText="1"/>
      <protection/>
    </xf>
    <xf numFmtId="2" fontId="14" fillId="0" borderId="0" xfId="36" applyNumberFormat="1" applyFont="1" applyAlignment="1">
      <alignment wrapText="1"/>
      <protection/>
    </xf>
    <xf numFmtId="0" fontId="14" fillId="0" borderId="0" xfId="36" applyFont="1">
      <alignment/>
      <protection/>
    </xf>
    <xf numFmtId="0" fontId="13" fillId="0" borderId="3" xfId="36" applyFont="1" applyBorder="1" applyAlignment="1">
      <alignment horizontal="center" vertical="top" wrapText="1"/>
      <protection/>
    </xf>
    <xf numFmtId="0" fontId="13" fillId="0" borderId="3" xfId="36" applyFont="1" applyBorder="1" applyAlignment="1">
      <alignment vertical="top" wrapText="1"/>
      <protection/>
    </xf>
    <xf numFmtId="1" fontId="13" fillId="0" borderId="3" xfId="36" applyNumberFormat="1" applyFont="1" applyFill="1" applyBorder="1" applyAlignment="1">
      <alignment horizontal="right"/>
      <protection/>
    </xf>
    <xf numFmtId="2" fontId="13" fillId="0" borderId="3" xfId="36" applyNumberFormat="1" applyFont="1" applyFill="1" applyBorder="1" applyAlignment="1">
      <alignment horizontal="right"/>
      <protection/>
    </xf>
    <xf numFmtId="0" fontId="14" fillId="0" borderId="0" xfId="36" applyFont="1" applyAlignment="1">
      <alignment wrapText="1"/>
      <protection/>
    </xf>
    <xf numFmtId="0" fontId="13" fillId="0" borderId="3" xfId="36" applyFont="1" applyBorder="1" applyAlignment="1">
      <alignment horizontal="left" vertical="top" wrapText="1"/>
      <protection/>
    </xf>
    <xf numFmtId="4" fontId="13" fillId="0" borderId="3" xfId="36" applyNumberFormat="1" applyFont="1" applyBorder="1" applyAlignment="1">
      <alignment horizontal="right" vertical="center" wrapText="1"/>
      <protection/>
    </xf>
    <xf numFmtId="1" fontId="9" fillId="0" borderId="3" xfId="36" applyNumberFormat="1" applyFont="1" applyFill="1" applyBorder="1" applyAlignment="1">
      <alignment horizontal="right"/>
      <protection/>
    </xf>
    <xf numFmtId="2" fontId="9" fillId="0" borderId="3" xfId="36" applyNumberFormat="1" applyFont="1" applyFill="1" applyBorder="1" applyAlignment="1">
      <alignment horizontal="right"/>
      <protection/>
    </xf>
    <xf numFmtId="0" fontId="13" fillId="0" borderId="3" xfId="36" applyFont="1" applyBorder="1" applyAlignment="1">
      <alignment horizontal="left" vertical="top"/>
      <protection/>
    </xf>
    <xf numFmtId="2" fontId="13" fillId="0" borderId="3" xfId="36" applyNumberFormat="1" applyFont="1" applyBorder="1" applyAlignment="1">
      <alignment horizontal="right"/>
      <protection/>
    </xf>
    <xf numFmtId="165" fontId="14" fillId="0" borderId="0" xfId="36" applyNumberFormat="1" applyFont="1" applyAlignment="1">
      <alignment wrapText="1"/>
      <protection/>
    </xf>
    <xf numFmtId="4" fontId="14" fillId="0" borderId="0" xfId="36" applyNumberFormat="1" applyFont="1">
      <alignment/>
      <protection/>
    </xf>
    <xf numFmtId="2" fontId="13" fillId="0" borderId="3" xfId="36" applyNumberFormat="1" applyFont="1" applyBorder="1" applyAlignment="1">
      <alignment horizontal="right" vertical="center" wrapText="1"/>
      <protection/>
    </xf>
    <xf numFmtId="4" fontId="13" fillId="0" borderId="0" xfId="36" applyNumberFormat="1" applyFont="1" applyAlignment="1">
      <alignment wrapText="1"/>
      <protection/>
    </xf>
    <xf numFmtId="1" fontId="9" fillId="0" borderId="3" xfId="36" applyNumberFormat="1" applyFont="1" applyBorder="1" applyAlignment="1">
      <alignment horizontal="right"/>
      <protection/>
    </xf>
    <xf numFmtId="2" fontId="9" fillId="0" borderId="3" xfId="36" applyNumberFormat="1" applyFont="1" applyBorder="1" applyAlignment="1">
      <alignment horizontal="right"/>
      <protection/>
    </xf>
    <xf numFmtId="3" fontId="13" fillId="0" borderId="3" xfId="36" applyNumberFormat="1" applyFont="1" applyBorder="1" applyAlignment="1">
      <alignment horizontal="right" vertical="center" wrapText="1"/>
      <protection/>
    </xf>
    <xf numFmtId="199" fontId="13" fillId="0" borderId="0" xfId="36" applyNumberFormat="1" applyFont="1" applyBorder="1">
      <alignment/>
      <protection/>
    </xf>
    <xf numFmtId="0" fontId="13" fillId="0" borderId="10" xfId="36" applyFont="1" applyBorder="1" applyAlignment="1">
      <alignment horizontal="center" vertical="center" wrapText="1"/>
      <protection/>
    </xf>
    <xf numFmtId="0" fontId="13" fillId="0" borderId="10" xfId="36" applyFont="1" applyBorder="1" applyAlignment="1">
      <alignment horizontal="left" vertical="top" wrapText="1"/>
      <protection/>
    </xf>
    <xf numFmtId="1" fontId="13" fillId="0" borderId="3" xfId="39" applyNumberFormat="1" applyFont="1" applyFill="1" applyBorder="1" applyAlignment="1">
      <alignment horizontal="right"/>
    </xf>
    <xf numFmtId="166" fontId="13" fillId="0" borderId="3" xfId="36" applyNumberFormat="1" applyFont="1" applyFill="1" applyBorder="1" applyAlignment="1">
      <alignment horizontal="right"/>
      <protection/>
    </xf>
    <xf numFmtId="189" fontId="13" fillId="0" borderId="0" xfId="36" applyNumberFormat="1" applyFont="1" applyBorder="1" applyAlignment="1">
      <alignment/>
      <protection/>
    </xf>
    <xf numFmtId="0" fontId="13" fillId="0" borderId="6" xfId="36" applyFont="1" applyBorder="1" applyAlignment="1">
      <alignment horizontal="center" vertical="center" wrapText="1"/>
      <protection/>
    </xf>
    <xf numFmtId="0" fontId="13" fillId="0" borderId="6" xfId="36" applyFont="1" applyBorder="1" applyAlignment="1">
      <alignment horizontal="left" vertical="top" wrapText="1"/>
      <protection/>
    </xf>
    <xf numFmtId="0" fontId="13" fillId="0" borderId="3" xfId="36" applyFont="1" applyBorder="1" applyAlignment="1">
      <alignment horizontal="right"/>
      <protection/>
    </xf>
    <xf numFmtId="0" fontId="13" fillId="0" borderId="7" xfId="36" applyFont="1" applyBorder="1" applyAlignment="1">
      <alignment wrapText="1"/>
      <protection/>
    </xf>
    <xf numFmtId="0" fontId="13" fillId="0" borderId="7" xfId="36" applyFont="1" applyBorder="1" applyAlignment="1">
      <alignment horizontal="center" wrapText="1"/>
      <protection/>
    </xf>
    <xf numFmtId="0" fontId="9" fillId="0" borderId="9" xfId="36" applyFont="1" applyBorder="1" applyAlignment="1">
      <alignment horizontal="center" wrapText="1"/>
      <protection/>
    </xf>
    <xf numFmtId="0" fontId="9" fillId="0" borderId="3" xfId="36" applyFont="1" applyBorder="1" applyAlignment="1">
      <alignment horizontal="center" vertical="top" wrapText="1"/>
      <protection/>
    </xf>
    <xf numFmtId="0" fontId="9" fillId="0" borderId="3" xfId="36" applyFont="1" applyBorder="1" applyAlignment="1">
      <alignment horizontal="left" vertical="top" wrapText="1"/>
      <protection/>
    </xf>
    <xf numFmtId="3" fontId="9" fillId="0" borderId="3" xfId="36" applyNumberFormat="1" applyFont="1" applyBorder="1" applyAlignment="1">
      <alignment horizontal="right" vertical="center" wrapText="1"/>
      <protection/>
    </xf>
    <xf numFmtId="43" fontId="9" fillId="0" borderId="3" xfId="40" applyNumberFormat="1" applyFont="1" applyBorder="1" applyAlignment="1">
      <alignment horizontal="right" vertical="center" wrapText="1"/>
    </xf>
    <xf numFmtId="0" fontId="15" fillId="0" borderId="0" xfId="36" applyFont="1" applyAlignment="1">
      <alignment wrapText="1"/>
      <protection/>
    </xf>
    <xf numFmtId="0" fontId="13" fillId="0" borderId="0" xfId="36" applyFont="1" applyBorder="1" applyAlignment="1">
      <alignment wrapText="1"/>
      <protection/>
    </xf>
    <xf numFmtId="0" fontId="9" fillId="0" borderId="0" xfId="36" applyFont="1" applyBorder="1" applyAlignment="1">
      <alignment wrapText="1"/>
      <protection/>
    </xf>
    <xf numFmtId="3" fontId="15" fillId="0" borderId="0" xfId="36" applyNumberFormat="1" applyFont="1" applyBorder="1" applyAlignment="1">
      <alignment vertical="top" wrapText="1"/>
      <protection/>
    </xf>
    <xf numFmtId="1" fontId="9" fillId="0" borderId="0" xfId="36" applyNumberFormat="1" applyFont="1" applyFill="1" applyBorder="1" applyAlignment="1">
      <alignment horizontal="center"/>
      <protection/>
    </xf>
    <xf numFmtId="2" fontId="13" fillId="0" borderId="0" xfId="36" applyNumberFormat="1" applyFont="1" applyFill="1" applyBorder="1" applyAlignment="1">
      <alignment horizontal="center"/>
      <protection/>
    </xf>
    <xf numFmtId="0" fontId="13" fillId="0" borderId="3" xfId="36" applyFont="1" applyBorder="1" applyAlignment="1">
      <alignment horizontal="center" wrapText="1"/>
      <protection/>
    </xf>
    <xf numFmtId="2" fontId="13" fillId="0" borderId="3" xfId="36" applyNumberFormat="1" applyFont="1" applyFill="1" applyBorder="1" applyAlignment="1">
      <alignment horizontal="center" wrapText="1"/>
      <protection/>
    </xf>
    <xf numFmtId="0" fontId="13" fillId="0" borderId="3" xfId="36" applyFont="1" applyFill="1" applyBorder="1" applyAlignment="1">
      <alignment horizontal="center" wrapText="1"/>
      <protection/>
    </xf>
    <xf numFmtId="0" fontId="9" fillId="0" borderId="3" xfId="36" applyFont="1" applyBorder="1" applyAlignment="1">
      <alignment horizontal="left" wrapText="1"/>
      <protection/>
    </xf>
    <xf numFmtId="0" fontId="9" fillId="0" borderId="3" xfId="36" applyFont="1" applyBorder="1" applyAlignment="1">
      <alignment horizontal="center" wrapText="1"/>
      <protection/>
    </xf>
    <xf numFmtId="0" fontId="9" fillId="0" borderId="3" xfId="36" applyFont="1" applyFill="1" applyBorder="1" applyAlignment="1">
      <alignment horizontal="center"/>
      <protection/>
    </xf>
    <xf numFmtId="2" fontId="9" fillId="0" borderId="3" xfId="36" applyNumberFormat="1" applyFont="1" applyFill="1" applyBorder="1" applyAlignment="1">
      <alignment horizontal="center"/>
      <protection/>
    </xf>
    <xf numFmtId="0" fontId="9" fillId="0" borderId="3" xfId="36" applyFont="1" applyFill="1" applyBorder="1" applyAlignment="1">
      <alignment horizontal="center" wrapText="1"/>
      <protection/>
    </xf>
    <xf numFmtId="0" fontId="13" fillId="0" borderId="0" xfId="36" applyFont="1" applyBorder="1" applyAlignment="1">
      <alignment horizontal="center" wrapText="1"/>
      <protection/>
    </xf>
    <xf numFmtId="3" fontId="9" fillId="0" borderId="0" xfId="36" applyNumberFormat="1" applyFont="1" applyBorder="1" applyAlignment="1">
      <alignment horizontal="center" wrapText="1"/>
      <protection/>
    </xf>
    <xf numFmtId="4" fontId="9" fillId="0" borderId="0" xfId="36" applyNumberFormat="1" applyFont="1" applyBorder="1" applyAlignment="1">
      <alignment horizontal="center" vertical="top" wrapText="1"/>
      <protection/>
    </xf>
    <xf numFmtId="0" fontId="16" fillId="0" borderId="7" xfId="36" applyFont="1" applyBorder="1" applyAlignment="1">
      <alignment horizontal="center" vertical="top" wrapText="1"/>
      <protection/>
    </xf>
    <xf numFmtId="0" fontId="13" fillId="0" borderId="9" xfId="36" applyFont="1" applyBorder="1" applyAlignment="1">
      <alignment horizontal="center"/>
      <protection/>
    </xf>
    <xf numFmtId="0" fontId="13" fillId="0" borderId="8" xfId="36" applyFont="1" applyBorder="1" applyAlignment="1">
      <alignment horizontal="center"/>
      <protection/>
    </xf>
    <xf numFmtId="0" fontId="9" fillId="0" borderId="8" xfId="36" applyFont="1" applyBorder="1" applyAlignment="1">
      <alignment/>
      <protection/>
    </xf>
    <xf numFmtId="2" fontId="9" fillId="0" borderId="3" xfId="36" applyNumberFormat="1" applyFont="1" applyBorder="1" applyAlignment="1">
      <alignment wrapText="1"/>
      <protection/>
    </xf>
    <xf numFmtId="0" fontId="17" fillId="0" borderId="3" xfId="36" applyFont="1" applyBorder="1" applyAlignment="1">
      <alignment vertical="top" wrapText="1"/>
      <protection/>
    </xf>
    <xf numFmtId="2" fontId="17" fillId="0" borderId="3" xfId="36" applyNumberFormat="1" applyFont="1" applyBorder="1" applyAlignment="1">
      <alignment horizontal="center" vertical="top" wrapText="1"/>
      <protection/>
    </xf>
    <xf numFmtId="0" fontId="13" fillId="0" borderId="9" xfId="36" applyFont="1" applyBorder="1" applyAlignment="1">
      <alignment horizontal="center" vertical="top" wrapText="1"/>
      <protection/>
    </xf>
    <xf numFmtId="0" fontId="13" fillId="0" borderId="8" xfId="36" applyFont="1" applyBorder="1" applyAlignment="1">
      <alignment horizontal="center" vertical="top" wrapText="1"/>
      <protection/>
    </xf>
    <xf numFmtId="2" fontId="16" fillId="0" borderId="8" xfId="36" applyNumberFormat="1" applyFont="1" applyBorder="1" applyAlignment="1">
      <alignment vertical="top" wrapText="1"/>
      <protection/>
    </xf>
    <xf numFmtId="0" fontId="13" fillId="0" borderId="3" xfId="36" applyFont="1" applyBorder="1" applyAlignment="1">
      <alignment vertical="top"/>
      <protection/>
    </xf>
    <xf numFmtId="2" fontId="13" fillId="0" borderId="3" xfId="36" applyNumberFormat="1" applyFont="1" applyBorder="1" applyAlignment="1">
      <alignment wrapText="1"/>
      <protection/>
    </xf>
    <xf numFmtId="0" fontId="9" fillId="0" borderId="3" xfId="36" applyFont="1" applyBorder="1" applyAlignment="1">
      <alignment wrapText="1"/>
      <protection/>
    </xf>
    <xf numFmtId="0" fontId="13" fillId="0" borderId="0" xfId="0" applyFont="1" applyAlignment="1">
      <alignment horizontal="center"/>
    </xf>
    <xf numFmtId="0" fontId="31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2" fontId="9" fillId="0" borderId="3" xfId="0" applyNumberFormat="1" applyFont="1" applyBorder="1" applyAlignment="1">
      <alignment horizontal="right" wrapText="1"/>
    </xf>
    <xf numFmtId="2" fontId="13" fillId="0" borderId="3" xfId="0" applyNumberFormat="1" applyFont="1" applyBorder="1" applyAlignment="1">
      <alignment horizontal="right" wrapText="1"/>
    </xf>
    <xf numFmtId="0" fontId="31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2" fontId="13" fillId="0" borderId="3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right" wrapText="1"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Alignment="1">
      <alignment/>
    </xf>
    <xf numFmtId="2" fontId="17" fillId="0" borderId="3" xfId="0" applyNumberFormat="1" applyFont="1" applyBorder="1" applyAlignment="1">
      <alignment horizontal="right" vertical="top" wrapText="1"/>
    </xf>
    <xf numFmtId="2" fontId="17" fillId="0" borderId="3" xfId="0" applyNumberFormat="1" applyFont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1" fontId="13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wrapText="1"/>
    </xf>
    <xf numFmtId="2" fontId="9" fillId="0" borderId="3" xfId="0" applyNumberFormat="1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right"/>
    </xf>
    <xf numFmtId="165" fontId="13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1" fontId="9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2" fontId="9" fillId="0" borderId="0" xfId="0" applyNumberFormat="1" applyFont="1" applyAlignment="1">
      <alignment horizontal="center"/>
    </xf>
    <xf numFmtId="0" fontId="9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168" fontId="13" fillId="0" borderId="3" xfId="0" applyNumberFormat="1" applyFont="1" applyBorder="1" applyAlignment="1">
      <alignment horizontal="center"/>
    </xf>
    <xf numFmtId="168" fontId="9" fillId="0" borderId="3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right" vertical="top" wrapText="1"/>
    </xf>
    <xf numFmtId="2" fontId="9" fillId="0" borderId="0" xfId="0" applyNumberFormat="1" applyFont="1" applyAlignment="1">
      <alignment horizontal="right"/>
    </xf>
    <xf numFmtId="0" fontId="17" fillId="0" borderId="3" xfId="0" applyFont="1" applyBorder="1" applyAlignment="1">
      <alignment horizontal="right" vertical="top" wrapText="1"/>
    </xf>
    <xf numFmtId="0" fontId="0" fillId="0" borderId="8" xfId="0" applyBorder="1" applyAlignment="1">
      <alignment horizontal="center" wrapText="1"/>
    </xf>
    <xf numFmtId="165" fontId="32" fillId="0" borderId="0" xfId="0" applyNumberFormat="1" applyFont="1" applyAlignment="1">
      <alignment/>
    </xf>
    <xf numFmtId="168" fontId="9" fillId="0" borderId="3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2" fontId="17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9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2" fontId="13" fillId="0" borderId="3" xfId="0" applyNumberFormat="1" applyFont="1" applyBorder="1" applyAlignment="1">
      <alignment/>
    </xf>
    <xf numFmtId="165" fontId="13" fillId="0" borderId="0" xfId="36" applyNumberFormat="1" applyFont="1">
      <alignment/>
      <protection/>
    </xf>
    <xf numFmtId="2" fontId="13" fillId="0" borderId="3" xfId="39" applyNumberFormat="1" applyFont="1" applyFill="1" applyBorder="1" applyAlignment="1">
      <alignment horizontal="right"/>
    </xf>
    <xf numFmtId="2" fontId="13" fillId="0" borderId="3" xfId="36" applyNumberFormat="1" applyFont="1" applyFill="1" applyBorder="1" applyAlignment="1">
      <alignment horizontal="right"/>
      <protection/>
    </xf>
    <xf numFmtId="2" fontId="13" fillId="0" borderId="3" xfId="36" applyNumberFormat="1" applyFont="1" applyBorder="1" applyAlignment="1">
      <alignment horizontal="right"/>
      <protection/>
    </xf>
    <xf numFmtId="0" fontId="13" fillId="0" borderId="7" xfId="36" applyFont="1" applyBorder="1" applyAlignment="1">
      <alignment horizontal="left" wrapText="1"/>
      <protection/>
    </xf>
    <xf numFmtId="2" fontId="9" fillId="0" borderId="3" xfId="36" applyNumberFormat="1" applyFont="1" applyBorder="1" applyAlignment="1">
      <alignment horizontal="right" vertical="center" wrapText="1"/>
      <protection/>
    </xf>
    <xf numFmtId="2" fontId="13" fillId="0" borderId="3" xfId="36" applyNumberFormat="1" applyFont="1" applyBorder="1" applyAlignment="1">
      <alignment vertical="top" wrapText="1"/>
      <protection/>
    </xf>
    <xf numFmtId="0" fontId="9" fillId="0" borderId="4" xfId="36" applyFont="1" applyBorder="1" applyAlignment="1">
      <alignment wrapText="1"/>
      <protection/>
    </xf>
    <xf numFmtId="0" fontId="13" fillId="0" borderId="4" xfId="36" applyFont="1" applyBorder="1" applyAlignment="1">
      <alignment wrapText="1"/>
      <protection/>
    </xf>
    <xf numFmtId="0" fontId="9" fillId="0" borderId="3" xfId="36" applyFont="1" applyBorder="1">
      <alignment/>
      <protection/>
    </xf>
    <xf numFmtId="0" fontId="9" fillId="0" borderId="3" xfId="36" applyFont="1" applyBorder="1" applyAlignment="1">
      <alignment horizontal="left"/>
      <protection/>
    </xf>
    <xf numFmtId="0" fontId="9" fillId="0" borderId="3" xfId="36" applyFont="1" applyBorder="1" applyAlignment="1">
      <alignment horizontal="center"/>
      <protection/>
    </xf>
    <xf numFmtId="2" fontId="9" fillId="0" borderId="3" xfId="36" applyNumberFormat="1" applyFont="1" applyBorder="1" applyAlignment="1">
      <alignment horizontal="center"/>
      <protection/>
    </xf>
  </cellXfs>
  <cellStyles count="3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6"/>
    <cellStyle name="_ПРИЛ. 2003_ЧТЭ" xfId="17"/>
    <cellStyle name="’ћѓћ‚›‰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Comma [0]_Mod1" xfId="24"/>
    <cellStyle name="Comma_Mod1" xfId="25"/>
    <cellStyle name="Currency [0]_Mod1" xfId="26"/>
    <cellStyle name="Currency_Mod1" xfId="27"/>
    <cellStyle name="Đ_x0010__x0000_䥘Ȏ_x0013_⤀጖ē_x0000__x0000_䆈Ȏ_x0013_⬀ጘē_x0010__x0000_䦄Ȏ" xfId="28"/>
    <cellStyle name="Heading 1" xfId="29"/>
    <cellStyle name="Normal_ITU_DealerPr" xfId="30"/>
    <cellStyle name="Беззащитный" xfId="31"/>
    <cellStyle name="Hyperlink" xfId="32"/>
    <cellStyle name="Currency" xfId="33"/>
    <cellStyle name="Currency [0]" xfId="34"/>
    <cellStyle name="Защитный" xfId="35"/>
    <cellStyle name="Обычный_Константа Заводской ост" xfId="36"/>
    <cellStyle name="Обычный_Свод для комитета (20 домов)" xfId="37"/>
    <cellStyle name="Followed Hyperlink" xfId="38"/>
    <cellStyle name="Percent" xfId="39"/>
    <cellStyle name="Comma" xfId="40"/>
    <cellStyle name="Comma [0]" xfId="41"/>
    <cellStyle name="Џђћ–…ќ’ќ›‰" xfId="42"/>
    <cellStyle name="ܘ_x0008__x0000_䈌Ȏ㘛䤀ጛܛ_x0008__x0000_䨐Ȏ㘛䤀ጛܛ_x0008__x0000_䉜Ȏ㘛伀ᤛ" xfId="43"/>
    <cellStyle name="ܛ_x0008__x0000_䉜Ȏ㘛伀ᤛܛ_x0008__x0000_偬Ȏ_x0000_ഀ഍č_x0001__x0000_䊴Ȏ_x0000_ကတĐ_x0001_Ҡ" xfId="44"/>
    <cellStyle name="㐀കܒ_x0008__x0000_䆴Ȏ㘛伀ᤛܛ_x0008__x0000_䧀Ȏ〘䤀ᤘ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7;&#1074;&#1086;&#1076;%20&#1076;&#1083;&#1103;%20&#1082;&#1086;&#1084;&#1080;&#1090;&#1077;&#1090;&#1072;%20(20%20&#1076;&#1086;&#1084;&#1086;&#1074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1_1\&#1082;&#1086;&#1085;&#1082;&#1091;&#1088;&#1089;&#1085;&#1072;&#1103;%20&#1087;&#1086;&#1089;&#1083;&#1077;&#1076;&#1085;&#1080;&#1081;%20&#1074;&#1072;&#1088;&#1080;&#1072;&#1085;&#1090;\Documents%20and%20Settings\User\&#1056;&#1072;&#1073;&#1086;&#1095;&#1080;&#1081;%20&#1089;&#1090;&#1086;&#1083;\&#1057;&#1074;&#1086;&#1076;%20&#1076;&#1083;&#1103;%20&#1082;&#1086;&#1084;&#1080;&#1090;&#1077;&#1090;&#1072;%20(20%20&#1076;&#1086;&#1084;&#1086;&#107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от20"/>
      <sheetName val="обяз лот 19"/>
      <sheetName val="СВОД"/>
      <sheetName val="пр.Энтузиастов 44В"/>
      <sheetName val="обяз лот 18"/>
      <sheetName val="пр.Энтузиастов 44В %"/>
      <sheetName val="пр.Энтузиастов 61"/>
      <sheetName val="пр.Энтузиастов 61 %"/>
      <sheetName val="Ново-Крекингская 14"/>
      <sheetName val="Ново-Крекингская 14%"/>
      <sheetName val="1Кавказский тупик 3"/>
      <sheetName val="1Кавказский тупик 3 %"/>
      <sheetName val="1Кавказский тупик 5"/>
      <sheetName val="1Кавказский тупик 5 %"/>
      <sheetName val="Киевская 10"/>
      <sheetName val="Киевская 10 %"/>
      <sheetName val="Миллеровская 31"/>
      <sheetName val="Миллеровская 31 % "/>
      <sheetName val="пр.Энтузиастов 44"/>
      <sheetName val="пр.Энтузиастов 44%"/>
      <sheetName val="Чернышевского 1"/>
      <sheetName val="Чернышевского 1%"/>
      <sheetName val="Чернышевского 1А"/>
      <sheetName val="Чернышевского 1А %"/>
      <sheetName val="Чернышевского 1Б"/>
      <sheetName val="Чернышевского 1Б %"/>
      <sheetName val="Чернышевского 1Б2"/>
      <sheetName val="Чернышевского 1Б2 %"/>
      <sheetName val="4 Увекский туп. 1"/>
      <sheetName val="4 Увекский туп. 1%"/>
      <sheetName val="1Князевский пр. 59"/>
      <sheetName val="1Князевский пр. 59 %"/>
      <sheetName val="Огородная 2"/>
      <sheetName val="Огородная 2 %"/>
      <sheetName val="4Станкостроительный пр 26"/>
      <sheetName val="4Станкостроительный пр 26 %"/>
      <sheetName val="8Станкостроительный пр 7"/>
      <sheetName val="8Станкостроительный пр 7 %"/>
      <sheetName val="2Огородный пр.3"/>
      <sheetName val="2Огородный пр.3 %"/>
      <sheetName val="8 Увекский пр.23"/>
      <sheetName val="8 Увекский пр.23 %"/>
      <sheetName val="2Нефтяной пр.45"/>
      <sheetName val="2Нефтяной пр.45 %"/>
    </sheetNames>
    <sheetDataSet>
      <sheetData sheetId="3">
        <row r="41">
          <cell r="AE41">
            <v>98.2651329036515</v>
          </cell>
        </row>
        <row r="42">
          <cell r="AE42">
            <v>8.188761075304292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от20"/>
      <sheetName val="обяз лот 19"/>
      <sheetName val="СВОД"/>
      <sheetName val="пр.Энтузиастов 44В"/>
      <sheetName val="обяз лот 18"/>
      <sheetName val="пр.Энтузиастов 44В %"/>
      <sheetName val="пр.Энтузиастов 61"/>
      <sheetName val="пр.Энтузиастов 61 %"/>
      <sheetName val="Ново-Крекингская 14"/>
      <sheetName val="Ново-Крекингская 14%"/>
      <sheetName val="1Кавказский тупик 3"/>
      <sheetName val="1Кавказский тупик 3 %"/>
      <sheetName val="1Кавказский тупик 5"/>
      <sheetName val="1Кавказский тупик 5 %"/>
      <sheetName val="Киевская 10"/>
      <sheetName val="Киевская 10 %"/>
      <sheetName val="Миллеровская 31"/>
      <sheetName val="Миллеровская 31 % "/>
      <sheetName val="пр.Энтузиастов 44"/>
      <sheetName val="пр.Энтузиастов 44%"/>
      <sheetName val="Чернышевского 1"/>
      <sheetName val="Чернышевского 1%"/>
      <sheetName val="Чернышевского 1А"/>
      <sheetName val="Чернышевского 1А %"/>
      <sheetName val="Чернышевского 1Б"/>
      <sheetName val="Чернышевского 1Б %"/>
      <sheetName val="Чернышевского 1Б2"/>
      <sheetName val="Чернышевского 1Б2 %"/>
      <sheetName val="4 Увекский туп. 1"/>
      <sheetName val="4 Увекский туп. 1%"/>
      <sheetName val="1Князевский пр. 59"/>
      <sheetName val="1Князевский пр. 59 %"/>
      <sheetName val="Огородная 2"/>
      <sheetName val="Огородная 2 %"/>
      <sheetName val="4Станкостроительный пр 26"/>
      <sheetName val="4Станкостроительный пр 26 %"/>
      <sheetName val="8Станкостроительный пр 7"/>
      <sheetName val="8Станкостроительный пр 7 %"/>
      <sheetName val="2Огородный пр.3"/>
      <sheetName val="2Огородный пр.3 %"/>
      <sheetName val="8 Увекский пр.23"/>
      <sheetName val="8 Увекский пр.23 %"/>
      <sheetName val="2Нефтяной пр.45"/>
      <sheetName val="2Нефтяной пр.45 %"/>
    </sheetNames>
    <sheetDataSet>
      <sheetData sheetId="3">
        <row r="41">
          <cell r="AE41">
            <v>98.2651329036515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64">
      <selection activeCell="C70" sqref="C70"/>
    </sheetView>
  </sheetViews>
  <sheetFormatPr defaultColWidth="9.00390625" defaultRowHeight="12.75"/>
  <cols>
    <col min="1" max="1" width="3.75390625" style="35" customWidth="1"/>
    <col min="2" max="2" width="43.375" style="35" customWidth="1"/>
    <col min="3" max="3" width="17.75390625" style="35" customWidth="1"/>
    <col min="4" max="4" width="11.00390625" style="35" customWidth="1"/>
    <col min="5" max="5" width="12.875" style="35" customWidth="1"/>
    <col min="6" max="16384" width="9.125" style="35" customWidth="1"/>
  </cols>
  <sheetData>
    <row r="1" spans="1:6" ht="15">
      <c r="A1" s="287" t="s">
        <v>168</v>
      </c>
      <c r="B1" s="287"/>
      <c r="C1" s="287"/>
      <c r="D1" s="287"/>
      <c r="E1" s="287"/>
      <c r="F1" s="41"/>
    </row>
    <row r="2" spans="1:6" ht="39" customHeight="1">
      <c r="A2" s="41"/>
      <c r="B2" s="36" t="s">
        <v>169</v>
      </c>
      <c r="C2" s="37"/>
      <c r="D2" s="38">
        <v>1183.4</v>
      </c>
      <c r="E2" s="39" t="s">
        <v>82</v>
      </c>
      <c r="F2" s="41"/>
    </row>
    <row r="3" spans="1:6" ht="15">
      <c r="A3" s="41"/>
      <c r="B3" s="40"/>
      <c r="C3" s="41"/>
      <c r="D3" s="41"/>
      <c r="E3" s="41"/>
      <c r="F3" s="41"/>
    </row>
    <row r="4" spans="1:6" ht="30" customHeight="1">
      <c r="A4" s="287" t="s">
        <v>62</v>
      </c>
      <c r="B4" s="287"/>
      <c r="C4" s="287"/>
      <c r="D4" s="287"/>
      <c r="E4" s="287"/>
      <c r="F4" s="41"/>
    </row>
    <row r="5" spans="1:6" ht="15">
      <c r="A5" s="36"/>
      <c r="B5" s="36"/>
      <c r="C5" s="36"/>
      <c r="D5" s="36"/>
      <c r="E5" s="36"/>
      <c r="F5" s="41"/>
    </row>
    <row r="6" spans="1:6" ht="79.5" customHeight="1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6" ht="15">
      <c r="A7" s="289" t="s">
        <v>170</v>
      </c>
      <c r="B7" s="290"/>
      <c r="C7" s="290"/>
      <c r="D7" s="68">
        <f>SUM(D8:D12)</f>
        <v>7689.831653450329</v>
      </c>
      <c r="E7" s="68">
        <f>SUM(E8:E12)</f>
        <v>0.5415069329509836</v>
      </c>
      <c r="F7" s="41"/>
    </row>
    <row r="8" spans="1:6" ht="30">
      <c r="A8" s="52">
        <v>1</v>
      </c>
      <c r="B8" s="56" t="s">
        <v>9</v>
      </c>
      <c r="C8" s="54" t="s">
        <v>10</v>
      </c>
      <c r="D8" s="55">
        <f>E8*$D$2*12</f>
        <v>3630.471594027979</v>
      </c>
      <c r="E8" s="58">
        <v>0.25565261069995904</v>
      </c>
      <c r="F8" s="41"/>
    </row>
    <row r="9" spans="1:6" ht="15">
      <c r="A9" s="52">
        <v>2</v>
      </c>
      <c r="B9" s="56" t="s">
        <v>171</v>
      </c>
      <c r="C9" s="56" t="s">
        <v>11</v>
      </c>
      <c r="D9" s="55">
        <f>E9*$D$2*12</f>
        <v>3481.3900037188805</v>
      </c>
      <c r="E9" s="58">
        <v>0.24515449860000002</v>
      </c>
      <c r="F9" s="41"/>
    </row>
    <row r="10" spans="1:6" ht="30">
      <c r="A10" s="52">
        <v>3</v>
      </c>
      <c r="B10" s="56" t="s">
        <v>172</v>
      </c>
      <c r="C10" s="56" t="s">
        <v>12</v>
      </c>
      <c r="D10" s="55">
        <f>E10*$D$2*12</f>
        <v>156.20880000000002</v>
      </c>
      <c r="E10" s="58">
        <v>0.011000000000000001</v>
      </c>
      <c r="F10" s="41"/>
    </row>
    <row r="11" spans="1:6" ht="15.75" customHeight="1">
      <c r="A11" s="52">
        <v>4</v>
      </c>
      <c r="B11" s="56" t="s">
        <v>173</v>
      </c>
      <c r="C11" s="56" t="s">
        <v>12</v>
      </c>
      <c r="D11" s="55">
        <f>E11*$D$2*12</f>
        <v>228.12079108611618</v>
      </c>
      <c r="E11" s="58">
        <v>0.016063939432012012</v>
      </c>
      <c r="F11" s="41"/>
    </row>
    <row r="12" spans="1:6" ht="15">
      <c r="A12" s="52">
        <v>5</v>
      </c>
      <c r="B12" s="56" t="s">
        <v>174</v>
      </c>
      <c r="C12" s="56" t="s">
        <v>13</v>
      </c>
      <c r="D12" s="55">
        <f>E12*$D$2*12</f>
        <v>193.64046461735344</v>
      </c>
      <c r="E12" s="58">
        <v>0.013635884219012552</v>
      </c>
      <c r="F12" s="41"/>
    </row>
    <row r="13" spans="1:6" ht="33" customHeight="1">
      <c r="A13" s="289" t="s">
        <v>14</v>
      </c>
      <c r="B13" s="290"/>
      <c r="C13" s="290"/>
      <c r="D13" s="46">
        <f>SUM(D14:D22)</f>
        <v>26269.68651902376</v>
      </c>
      <c r="E13" s="46">
        <f>SUM(E14:E22)</f>
        <v>1.8498737056379746</v>
      </c>
      <c r="F13" s="47"/>
    </row>
    <row r="14" spans="1:6" ht="15" customHeight="1">
      <c r="A14" s="52">
        <v>6</v>
      </c>
      <c r="B14" s="42" t="s">
        <v>57</v>
      </c>
      <c r="C14" s="54" t="s">
        <v>10</v>
      </c>
      <c r="D14" s="55">
        <f aca="true" t="shared" si="0" ref="D14:D22">E14*$D$2*12</f>
        <v>1936.8229977677258</v>
      </c>
      <c r="E14" s="58">
        <v>0.1363883019102956</v>
      </c>
      <c r="F14" s="41"/>
    </row>
    <row r="15" spans="1:6" ht="15.75" customHeight="1">
      <c r="A15" s="52">
        <v>7</v>
      </c>
      <c r="B15" s="42" t="s">
        <v>81</v>
      </c>
      <c r="C15" s="54" t="s">
        <v>10</v>
      </c>
      <c r="D15" s="55">
        <f t="shared" si="0"/>
        <v>983.4664240455133</v>
      </c>
      <c r="E15" s="58">
        <v>0.06925429722589665</v>
      </c>
      <c r="F15" s="41"/>
    </row>
    <row r="16" spans="1:6" ht="15.75" customHeight="1">
      <c r="A16" s="52">
        <v>8</v>
      </c>
      <c r="B16" s="42" t="s">
        <v>149</v>
      </c>
      <c r="C16" s="54" t="s">
        <v>150</v>
      </c>
      <c r="D16" s="55">
        <f t="shared" si="0"/>
        <v>2086.9091726129373</v>
      </c>
      <c r="E16" s="58">
        <v>0.1469571554146905</v>
      </c>
      <c r="F16" s="41"/>
    </row>
    <row r="17" spans="1:6" ht="30">
      <c r="A17" s="52">
        <v>9</v>
      </c>
      <c r="B17" s="42" t="s">
        <v>66</v>
      </c>
      <c r="C17" s="56" t="s">
        <v>15</v>
      </c>
      <c r="D17" s="55">
        <f t="shared" si="0"/>
        <v>2476.052127828065</v>
      </c>
      <c r="E17" s="55">
        <v>0.17436004505577604</v>
      </c>
      <c r="F17" s="41"/>
    </row>
    <row r="18" spans="1:6" ht="60">
      <c r="A18" s="52">
        <v>10</v>
      </c>
      <c r="B18" s="54" t="s">
        <v>79</v>
      </c>
      <c r="C18" s="54" t="s">
        <v>16</v>
      </c>
      <c r="D18" s="55">
        <f t="shared" si="0"/>
        <v>13205.611348416354</v>
      </c>
      <c r="E18" s="55">
        <v>0.9299202402974728</v>
      </c>
      <c r="F18" s="41"/>
    </row>
    <row r="19" spans="1:6" ht="15.75" customHeight="1">
      <c r="A19" s="52">
        <v>11</v>
      </c>
      <c r="B19" s="56" t="s">
        <v>94</v>
      </c>
      <c r="C19" s="56" t="s">
        <v>15</v>
      </c>
      <c r="D19" s="55">
        <f t="shared" si="0"/>
        <v>429.2658152097499</v>
      </c>
      <c r="E19" s="58">
        <v>0.030228283984687472</v>
      </c>
      <c r="F19" s="41"/>
    </row>
    <row r="20" spans="1:6" ht="15.75" customHeight="1">
      <c r="A20" s="52">
        <v>12</v>
      </c>
      <c r="B20" s="56" t="s">
        <v>96</v>
      </c>
      <c r="C20" s="56" t="s">
        <v>12</v>
      </c>
      <c r="D20" s="55">
        <f t="shared" si="0"/>
        <v>212.5887846753049</v>
      </c>
      <c r="E20" s="55">
        <v>0.014970197782892858</v>
      </c>
      <c r="F20" s="41"/>
    </row>
    <row r="21" spans="1:6" ht="15.75" customHeight="1">
      <c r="A21" s="52">
        <v>13</v>
      </c>
      <c r="B21" s="56" t="s">
        <v>17</v>
      </c>
      <c r="C21" s="56" t="s">
        <v>18</v>
      </c>
      <c r="D21" s="55">
        <f t="shared" si="0"/>
        <v>4826.401361485292</v>
      </c>
      <c r="E21" s="58">
        <v>0.3398682723146084</v>
      </c>
      <c r="F21" s="41"/>
    </row>
    <row r="22" spans="1:7" ht="15.75" customHeight="1">
      <c r="A22" s="52">
        <v>14</v>
      </c>
      <c r="B22" s="56" t="s">
        <v>98</v>
      </c>
      <c r="C22" s="56" t="s">
        <v>13</v>
      </c>
      <c r="D22" s="55">
        <f t="shared" si="0"/>
        <v>112.56848698281323</v>
      </c>
      <c r="E22" s="55">
        <v>0.007926911651654359</v>
      </c>
      <c r="F22" s="60"/>
      <c r="G22" s="63"/>
    </row>
    <row r="23" spans="1:7" ht="15">
      <c r="A23" s="291" t="s">
        <v>175</v>
      </c>
      <c r="B23" s="259"/>
      <c r="C23" s="260"/>
      <c r="D23" s="46">
        <f>SUM(D24:D25)</f>
        <v>13322.553140819016</v>
      </c>
      <c r="E23" s="46">
        <f>SUM(E24:E25)</f>
        <v>0.9381551138540798</v>
      </c>
      <c r="F23" s="62"/>
      <c r="G23" s="63"/>
    </row>
    <row r="24" spans="1:7" ht="15.75" customHeight="1">
      <c r="A24" s="52">
        <v>15</v>
      </c>
      <c r="B24" s="42" t="s">
        <v>26</v>
      </c>
      <c r="C24" s="54" t="s">
        <v>101</v>
      </c>
      <c r="D24" s="55">
        <f>E24*$D$2*12</f>
        <v>12188.978170923163</v>
      </c>
      <c r="E24" s="64">
        <v>0.858330387789643</v>
      </c>
      <c r="F24" s="60"/>
      <c r="G24" s="63"/>
    </row>
    <row r="25" spans="1:7" ht="30">
      <c r="A25" s="52">
        <v>16</v>
      </c>
      <c r="B25" s="56" t="s">
        <v>28</v>
      </c>
      <c r="C25" s="56" t="s">
        <v>103</v>
      </c>
      <c r="D25" s="55">
        <f>E25*$D$2*12</f>
        <v>1133.5749698958537</v>
      </c>
      <c r="E25" s="55">
        <v>0.07982472606443676</v>
      </c>
      <c r="F25" s="60"/>
      <c r="G25" s="63"/>
    </row>
    <row r="26" spans="1:7" ht="15">
      <c r="A26" s="291" t="s">
        <v>176</v>
      </c>
      <c r="B26" s="292"/>
      <c r="C26" s="293"/>
      <c r="D26" s="65">
        <f>SUM(D27:D30)</f>
        <v>15321.304258200089</v>
      </c>
      <c r="E26" s="65">
        <f>SUM(E27:E30)</f>
        <v>1.0789043052644982</v>
      </c>
      <c r="F26" s="60"/>
      <c r="G26" s="63"/>
    </row>
    <row r="27" spans="1:7" ht="15.75" customHeight="1">
      <c r="A27" s="52">
        <v>17</v>
      </c>
      <c r="B27" s="56" t="s">
        <v>21</v>
      </c>
      <c r="C27" s="56" t="s">
        <v>13</v>
      </c>
      <c r="D27" s="55">
        <f>E27*12*$D$2</f>
        <v>235.95114975624634</v>
      </c>
      <c r="E27" s="58">
        <v>0.016615342076238403</v>
      </c>
      <c r="F27" s="47"/>
      <c r="G27" s="66"/>
    </row>
    <row r="28" spans="1:7" ht="30">
      <c r="A28" s="52">
        <v>18</v>
      </c>
      <c r="B28" s="56" t="s">
        <v>22</v>
      </c>
      <c r="C28" s="56" t="s">
        <v>13</v>
      </c>
      <c r="D28" s="55">
        <f>E28*12*$D$2</f>
        <v>1421.4724122984142</v>
      </c>
      <c r="E28" s="58">
        <v>0.10009805168007535</v>
      </c>
      <c r="F28" s="67"/>
      <c r="G28" s="63"/>
    </row>
    <row r="29" spans="1:6" ht="30">
      <c r="A29" s="52">
        <v>19</v>
      </c>
      <c r="B29" s="56" t="s">
        <v>23</v>
      </c>
      <c r="C29" s="56" t="s">
        <v>13</v>
      </c>
      <c r="D29" s="55">
        <f>E29*12*$D$2</f>
        <v>665.1640141776363</v>
      </c>
      <c r="E29" s="58">
        <v>0.04683989734223679</v>
      </c>
      <c r="F29" s="41"/>
    </row>
    <row r="30" spans="1:6" ht="96" customHeight="1">
      <c r="A30" s="52">
        <v>20</v>
      </c>
      <c r="B30" s="56" t="s">
        <v>108</v>
      </c>
      <c r="C30" s="56" t="s">
        <v>13</v>
      </c>
      <c r="D30" s="55">
        <f>E30*12*$D$2</f>
        <v>12998.716681967791</v>
      </c>
      <c r="E30" s="55">
        <v>0.9153510141659478</v>
      </c>
      <c r="F30" s="41"/>
    </row>
    <row r="31" spans="1:6" ht="15">
      <c r="A31" s="289" t="s">
        <v>177</v>
      </c>
      <c r="B31" s="290"/>
      <c r="C31" s="290"/>
      <c r="D31" s="68">
        <f>SUM(D32:D33)</f>
        <v>25411.353092760335</v>
      </c>
      <c r="E31" s="68">
        <f>SUM(E32:E33)</f>
        <v>1.7894310949214363</v>
      </c>
      <c r="F31" s="41"/>
    </row>
    <row r="32" spans="1:6" ht="80.25" customHeight="1">
      <c r="A32" s="52">
        <v>21</v>
      </c>
      <c r="B32" s="56" t="s">
        <v>88</v>
      </c>
      <c r="C32" s="56" t="s">
        <v>13</v>
      </c>
      <c r="D32" s="55">
        <f>E32*12*$D$2</f>
        <v>5125.809205460579</v>
      </c>
      <c r="E32" s="55">
        <v>0.36095214392573505</v>
      </c>
      <c r="F32" s="41"/>
    </row>
    <row r="33" spans="1:6" ht="102" customHeight="1">
      <c r="A33" s="52">
        <v>22</v>
      </c>
      <c r="B33" s="56" t="s">
        <v>71</v>
      </c>
      <c r="C33" s="56" t="s">
        <v>112</v>
      </c>
      <c r="D33" s="55">
        <f>E33*12*$D$2</f>
        <v>20285.543887299755</v>
      </c>
      <c r="E33" s="64">
        <v>1.4284789509957012</v>
      </c>
      <c r="F33" s="41"/>
    </row>
    <row r="34" spans="1:6" ht="15">
      <c r="A34" s="289" t="s">
        <v>113</v>
      </c>
      <c r="B34" s="289"/>
      <c r="C34" s="289"/>
      <c r="D34" s="70">
        <f>SUM(D35)</f>
        <v>6752.592000000001</v>
      </c>
      <c r="E34" s="70">
        <f>SUM(E35)</f>
        <v>0.47550785871218526</v>
      </c>
      <c r="F34" s="41"/>
    </row>
    <row r="35" spans="1:6" ht="15">
      <c r="A35" s="52">
        <v>23</v>
      </c>
      <c r="B35" s="56" t="s">
        <v>68</v>
      </c>
      <c r="C35" s="56" t="s">
        <v>115</v>
      </c>
      <c r="D35" s="55">
        <f>E35*12*$D$2</f>
        <v>6752.592000000001</v>
      </c>
      <c r="E35" s="101">
        <v>0.47550785871218526</v>
      </c>
      <c r="F35" s="41"/>
    </row>
    <row r="36" spans="1:6" ht="15">
      <c r="A36" s="289" t="s">
        <v>178</v>
      </c>
      <c r="B36" s="289"/>
      <c r="C36" s="289"/>
      <c r="D36" s="70">
        <f>SUM(D37:D39)</f>
        <v>1599.7988398396828</v>
      </c>
      <c r="E36" s="70">
        <f>SUM(E37:E39)</f>
        <v>0.11265554333838113</v>
      </c>
      <c r="F36" s="41"/>
    </row>
    <row r="37" spans="1:6" ht="30">
      <c r="A37" s="52">
        <v>24</v>
      </c>
      <c r="B37" s="56" t="s">
        <v>32</v>
      </c>
      <c r="C37" s="56" t="s">
        <v>103</v>
      </c>
      <c r="D37" s="55">
        <f>E37*12*$D$2</f>
        <v>855.9599366322578</v>
      </c>
      <c r="E37" s="64">
        <v>0.06027547297562516</v>
      </c>
      <c r="F37" s="41"/>
    </row>
    <row r="38" spans="1:6" ht="45">
      <c r="A38" s="52">
        <v>25</v>
      </c>
      <c r="B38" s="56" t="s">
        <v>33</v>
      </c>
      <c r="C38" s="56" t="s">
        <v>34</v>
      </c>
      <c r="D38" s="55">
        <f>E38*12*$D$2</f>
        <v>156.20880000000002</v>
      </c>
      <c r="E38" s="55">
        <v>0.011000000000000001</v>
      </c>
      <c r="F38" s="41"/>
    </row>
    <row r="39" spans="1:6" ht="15.75" customHeight="1">
      <c r="A39" s="52">
        <v>26</v>
      </c>
      <c r="B39" s="56" t="s">
        <v>35</v>
      </c>
      <c r="C39" s="56" t="s">
        <v>13</v>
      </c>
      <c r="D39" s="55">
        <f>E39*12*$D$2</f>
        <v>587.6301032074249</v>
      </c>
      <c r="E39" s="64">
        <v>0.04138007036275596</v>
      </c>
      <c r="F39" s="41"/>
    </row>
    <row r="40" spans="1:6" ht="15">
      <c r="A40" s="43"/>
      <c r="B40" s="71" t="s">
        <v>120</v>
      </c>
      <c r="C40" s="71"/>
      <c r="D40" s="72">
        <f>D7+D13+D23+D26+D31+D34+D36</f>
        <v>96367.1195040932</v>
      </c>
      <c r="E40" s="46">
        <f>E7+E13+E23+E26+E31+E34+E36</f>
        <v>6.78603455467954</v>
      </c>
      <c r="F40" s="39"/>
    </row>
    <row r="41" spans="1:6" ht="15">
      <c r="A41" s="73"/>
      <c r="B41" s="74"/>
      <c r="C41" s="75"/>
      <c r="D41" s="76"/>
      <c r="E41" s="77"/>
      <c r="F41" s="41"/>
    </row>
    <row r="42" spans="1:6" ht="15">
      <c r="A42" s="78"/>
      <c r="B42" s="78"/>
      <c r="C42" s="78"/>
      <c r="D42" s="78"/>
      <c r="E42" s="78"/>
      <c r="F42" s="79"/>
    </row>
    <row r="43" spans="1:6" ht="105">
      <c r="A43" s="45" t="s">
        <v>3</v>
      </c>
      <c r="B43" s="45" t="s">
        <v>121</v>
      </c>
      <c r="C43" s="45" t="s">
        <v>122</v>
      </c>
      <c r="D43" s="45" t="s">
        <v>38</v>
      </c>
      <c r="E43" s="45" t="s">
        <v>179</v>
      </c>
      <c r="F43" s="45" t="s">
        <v>40</v>
      </c>
    </row>
    <row r="44" spans="1:6" ht="15">
      <c r="A44" s="45">
        <v>1</v>
      </c>
      <c r="B44" s="42" t="s">
        <v>41</v>
      </c>
      <c r="C44" s="45" t="s">
        <v>180</v>
      </c>
      <c r="D44" s="45">
        <v>31241.76</v>
      </c>
      <c r="E44" s="80">
        <f>D44/12/D2</f>
        <v>2.1999999999999997</v>
      </c>
      <c r="F44" s="81">
        <v>2</v>
      </c>
    </row>
    <row r="45" spans="1:6" ht="15">
      <c r="A45" s="45"/>
      <c r="B45" s="49" t="s">
        <v>36</v>
      </c>
      <c r="C45" s="44"/>
      <c r="D45" s="122">
        <f>SUM(D44)</f>
        <v>31241.76</v>
      </c>
      <c r="E45" s="82">
        <f>SUM(E44:E44)</f>
        <v>2.1999999999999997</v>
      </c>
      <c r="F45" s="83"/>
    </row>
    <row r="46" spans="1:6" ht="35.25" customHeight="1">
      <c r="A46" s="73"/>
      <c r="B46" s="74"/>
      <c r="C46" s="84"/>
      <c r="D46" s="84"/>
      <c r="E46" s="84"/>
      <c r="F46" s="84"/>
    </row>
    <row r="47" spans="1:6" ht="29.25">
      <c r="A47" s="73"/>
      <c r="B47" s="74" t="s">
        <v>125</v>
      </c>
      <c r="C47" s="85">
        <f>D40+D45</f>
        <v>127608.8795040932</v>
      </c>
      <c r="D47" s="85"/>
      <c r="E47" s="85"/>
      <c r="F47" s="84"/>
    </row>
    <row r="48" spans="1:6" ht="15">
      <c r="A48" s="73"/>
      <c r="B48" s="74" t="s">
        <v>126</v>
      </c>
      <c r="C48" s="86">
        <f>E40+E45</f>
        <v>8.98603455467954</v>
      </c>
      <c r="D48" s="84"/>
      <c r="E48" s="84"/>
      <c r="F48" s="84"/>
    </row>
    <row r="49" spans="1:6" ht="15">
      <c r="A49" s="73"/>
      <c r="B49" s="74"/>
      <c r="C49" s="86"/>
      <c r="D49" s="84"/>
      <c r="E49" s="84"/>
      <c r="F49" s="84"/>
    </row>
    <row r="50" spans="1:6" ht="15">
      <c r="A50" s="41"/>
      <c r="B50" s="41"/>
      <c r="C50" s="41"/>
      <c r="D50" s="41"/>
      <c r="E50" s="41"/>
      <c r="F50" s="41"/>
    </row>
    <row r="51" spans="1:6" ht="33" customHeight="1">
      <c r="A51" s="287" t="s">
        <v>44</v>
      </c>
      <c r="B51" s="287"/>
      <c r="C51" s="287"/>
      <c r="D51" s="287"/>
      <c r="E51" s="287"/>
      <c r="F51" s="287"/>
    </row>
    <row r="52" spans="1:6" ht="15">
      <c r="A52" s="36"/>
      <c r="B52" s="36"/>
      <c r="C52" s="36"/>
      <c r="D52" s="41"/>
      <c r="E52" s="41"/>
      <c r="F52" s="41"/>
    </row>
    <row r="53" spans="1:6" ht="71.25">
      <c r="A53" s="42"/>
      <c r="B53" s="43" t="s">
        <v>4</v>
      </c>
      <c r="C53" s="43" t="s">
        <v>5</v>
      </c>
      <c r="D53" s="43" t="s">
        <v>6</v>
      </c>
      <c r="E53" s="43" t="s">
        <v>93</v>
      </c>
      <c r="F53" s="41"/>
    </row>
    <row r="54" spans="1:5" ht="15">
      <c r="A54" s="288" t="s">
        <v>47</v>
      </c>
      <c r="B54" s="288"/>
      <c r="C54" s="288"/>
      <c r="D54" s="46">
        <f>D55+D56</f>
        <v>284.016</v>
      </c>
      <c r="E54" s="46">
        <f>E55+E56</f>
        <v>0.02</v>
      </c>
    </row>
    <row r="55" spans="1:5" ht="30">
      <c r="A55" s="52" t="s">
        <v>48</v>
      </c>
      <c r="B55" s="88" t="s">
        <v>9</v>
      </c>
      <c r="C55" s="88" t="s">
        <v>49</v>
      </c>
      <c r="D55" s="55">
        <f>E55*12*$D$2</f>
        <v>142.008</v>
      </c>
      <c r="E55" s="87">
        <v>0.01</v>
      </c>
    </row>
    <row r="56" spans="1:5" ht="30">
      <c r="A56" s="52" t="s">
        <v>50</v>
      </c>
      <c r="B56" s="88" t="s">
        <v>51</v>
      </c>
      <c r="C56" s="88" t="s">
        <v>52</v>
      </c>
      <c r="D56" s="55">
        <f>E56*12*$D$2</f>
        <v>142.008</v>
      </c>
      <c r="E56" s="87">
        <v>0.01</v>
      </c>
    </row>
    <row r="57" spans="1:5" ht="32.25" customHeight="1">
      <c r="A57" s="288" t="s">
        <v>53</v>
      </c>
      <c r="B57" s="288"/>
      <c r="C57" s="288"/>
      <c r="D57" s="46">
        <f>D58+D59+D60</f>
        <v>4260.240000000001</v>
      </c>
      <c r="E57" s="46">
        <f>E58+E59+E60</f>
        <v>0.3</v>
      </c>
    </row>
    <row r="58" spans="1:5" ht="32.25" customHeight="1">
      <c r="A58" s="52" t="s">
        <v>54</v>
      </c>
      <c r="B58" s="88" t="s">
        <v>55</v>
      </c>
      <c r="C58" s="88" t="s">
        <v>127</v>
      </c>
      <c r="D58" s="55">
        <f>E58*12*$D$2</f>
        <v>284.016</v>
      </c>
      <c r="E58" s="87">
        <v>0.02</v>
      </c>
    </row>
    <row r="59" spans="1:5" ht="30">
      <c r="A59" s="52" t="s">
        <v>56</v>
      </c>
      <c r="B59" s="89" t="s">
        <v>57</v>
      </c>
      <c r="C59" s="89" t="s">
        <v>58</v>
      </c>
      <c r="D59" s="55">
        <f>E59*12*$D$2</f>
        <v>3124.1760000000004</v>
      </c>
      <c r="E59" s="87">
        <v>0.22</v>
      </c>
    </row>
    <row r="60" spans="1:5" ht="30">
      <c r="A60" s="52" t="s">
        <v>59</v>
      </c>
      <c r="B60" s="123" t="s">
        <v>17</v>
      </c>
      <c r="C60" s="42" t="s">
        <v>52</v>
      </c>
      <c r="D60" s="55">
        <f>E60*12*$D$2</f>
        <v>852.048</v>
      </c>
      <c r="E60" s="58">
        <v>0.06</v>
      </c>
    </row>
    <row r="61" spans="1:6" ht="15">
      <c r="A61" s="43"/>
      <c r="B61" s="71" t="s">
        <v>120</v>
      </c>
      <c r="C61" s="71"/>
      <c r="D61" s="72">
        <f>D54+D57</f>
        <v>4544.256</v>
      </c>
      <c r="E61" s="46">
        <f>E54+E57</f>
        <v>0.32</v>
      </c>
      <c r="F61" s="39"/>
    </row>
    <row r="62" spans="1:6" ht="15">
      <c r="A62" s="41"/>
      <c r="B62" s="41"/>
      <c r="C62" s="41"/>
      <c r="D62" s="41"/>
      <c r="E62" s="41"/>
      <c r="F62" s="41"/>
    </row>
    <row r="63" spans="1:6" ht="15">
      <c r="A63" s="78"/>
      <c r="B63" s="78"/>
      <c r="C63" s="78"/>
      <c r="D63" s="78"/>
      <c r="E63" s="78"/>
      <c r="F63" s="79"/>
    </row>
    <row r="64" spans="1:6" ht="105">
      <c r="A64" s="45" t="s">
        <v>3</v>
      </c>
      <c r="B64" s="45" t="s">
        <v>121</v>
      </c>
      <c r="C64" s="45" t="s">
        <v>122</v>
      </c>
      <c r="D64" s="45" t="s">
        <v>38</v>
      </c>
      <c r="E64" s="45" t="s">
        <v>181</v>
      </c>
      <c r="F64" s="45" t="s">
        <v>40</v>
      </c>
    </row>
    <row r="65" spans="1:6" ht="15">
      <c r="A65" s="45">
        <v>1</v>
      </c>
      <c r="B65" s="42" t="s">
        <v>41</v>
      </c>
      <c r="C65" s="45" t="s">
        <v>182</v>
      </c>
      <c r="D65" s="90">
        <v>3000.17</v>
      </c>
      <c r="E65" s="91">
        <f>D65/12/$D$2</f>
        <v>0.21126767506055996</v>
      </c>
      <c r="F65" s="81">
        <v>2</v>
      </c>
    </row>
    <row r="66" spans="1:6" ht="15">
      <c r="A66" s="92"/>
      <c r="B66" s="92" t="s">
        <v>36</v>
      </c>
      <c r="C66" s="92"/>
      <c r="D66" s="124">
        <f>SUM(D65)</f>
        <v>3000.17</v>
      </c>
      <c r="E66" s="100">
        <f>SUM(E65)</f>
        <v>0.21126767506055996</v>
      </c>
      <c r="F66" s="92"/>
    </row>
    <row r="69" spans="2:3" ht="29.25">
      <c r="B69" s="74" t="s">
        <v>289</v>
      </c>
      <c r="C69" s="286">
        <v>127608.8795040932</v>
      </c>
    </row>
  </sheetData>
  <mergeCells count="12">
    <mergeCell ref="A31:C31"/>
    <mergeCell ref="A1:E1"/>
    <mergeCell ref="A4:E4"/>
    <mergeCell ref="A7:C7"/>
    <mergeCell ref="A26:C26"/>
    <mergeCell ref="A13:C13"/>
    <mergeCell ref="A23:C23"/>
    <mergeCell ref="A51:F51"/>
    <mergeCell ref="A54:C54"/>
    <mergeCell ref="A57:C57"/>
    <mergeCell ref="A34:C34"/>
    <mergeCell ref="A36:C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4"/>
  <sheetViews>
    <sheetView zoomScaleSheetLayoutView="50" workbookViewId="0" topLeftCell="A1">
      <selection activeCell="C70" sqref="C70"/>
    </sheetView>
  </sheetViews>
  <sheetFormatPr defaultColWidth="9.00390625" defaultRowHeight="12.75"/>
  <cols>
    <col min="1" max="1" width="3.75390625" style="35" customWidth="1"/>
    <col min="2" max="2" width="43.375" style="35" customWidth="1"/>
    <col min="3" max="3" width="17.75390625" style="35" customWidth="1"/>
    <col min="4" max="4" width="11.00390625" style="35" customWidth="1"/>
    <col min="5" max="5" width="12.875" style="35" customWidth="1"/>
    <col min="6" max="16384" width="9.125" style="35" customWidth="1"/>
  </cols>
  <sheetData>
    <row r="1" spans="1:6" ht="15">
      <c r="A1" s="287" t="s">
        <v>202</v>
      </c>
      <c r="B1" s="287"/>
      <c r="C1" s="287"/>
      <c r="D1" s="287"/>
      <c r="E1" s="287"/>
      <c r="F1" s="41"/>
    </row>
    <row r="2" spans="1:6" ht="15">
      <c r="A2" s="41"/>
      <c r="B2" s="36" t="s">
        <v>203</v>
      </c>
      <c r="C2" s="37"/>
      <c r="D2" s="38">
        <v>75.5</v>
      </c>
      <c r="E2" s="39" t="s">
        <v>82</v>
      </c>
      <c r="F2" s="41"/>
    </row>
    <row r="3" spans="1:6" ht="5.25" customHeight="1">
      <c r="A3" s="41"/>
      <c r="B3" s="40"/>
      <c r="C3" s="41"/>
      <c r="D3" s="41"/>
      <c r="E3" s="41"/>
      <c r="F3" s="41"/>
    </row>
    <row r="4" spans="1:6" ht="30.75" customHeight="1">
      <c r="A4" s="287" t="s">
        <v>62</v>
      </c>
      <c r="B4" s="287"/>
      <c r="C4" s="287"/>
      <c r="D4" s="287"/>
      <c r="E4" s="287"/>
      <c r="F4" s="41"/>
    </row>
    <row r="5" spans="1:6" ht="6" customHeight="1">
      <c r="A5" s="36"/>
      <c r="B5" s="36"/>
      <c r="C5" s="36"/>
      <c r="D5" s="36"/>
      <c r="E5" s="36"/>
      <c r="F5" s="41"/>
    </row>
    <row r="6" spans="1:6" ht="71.25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7" ht="15">
      <c r="A7" s="291" t="s">
        <v>129</v>
      </c>
      <c r="B7" s="259"/>
      <c r="C7" s="260"/>
      <c r="D7" s="46">
        <f>SUM(D8:D9)</f>
        <v>1036.1985776192566</v>
      </c>
      <c r="E7" s="46">
        <f>SUM(E8:E9)</f>
        <v>1.1437070393148527</v>
      </c>
      <c r="F7" s="62"/>
      <c r="G7" s="63"/>
    </row>
    <row r="8" spans="1:7" ht="15.75" customHeight="1">
      <c r="A8" s="52">
        <v>1</v>
      </c>
      <c r="B8" s="42" t="s">
        <v>26</v>
      </c>
      <c r="C8" s="54" t="s">
        <v>101</v>
      </c>
      <c r="D8" s="55">
        <f>E8*$D$2*12</f>
        <v>948.0316355162458</v>
      </c>
      <c r="E8" s="64">
        <v>1.0463925336823905</v>
      </c>
      <c r="F8" s="60"/>
      <c r="G8" s="63"/>
    </row>
    <row r="9" spans="1:7" ht="30">
      <c r="A9" s="52">
        <v>2</v>
      </c>
      <c r="B9" s="56" t="s">
        <v>28</v>
      </c>
      <c r="C9" s="56" t="s">
        <v>103</v>
      </c>
      <c r="D9" s="55">
        <f>E9*$D$2*12</f>
        <v>88.1669421030108</v>
      </c>
      <c r="E9" s="55">
        <v>0.09731450563246224</v>
      </c>
      <c r="F9" s="60"/>
      <c r="G9" s="63"/>
    </row>
    <row r="10" spans="1:7" ht="15">
      <c r="A10" s="291" t="s">
        <v>77</v>
      </c>
      <c r="B10" s="292"/>
      <c r="C10" s="293"/>
      <c r="D10" s="65">
        <f>SUM(D11:D12)</f>
        <v>964.2209440243137</v>
      </c>
      <c r="E10" s="65">
        <f>SUM(E11:E12)</f>
        <v>1.064261527620655</v>
      </c>
      <c r="F10" s="60"/>
      <c r="G10" s="63"/>
    </row>
    <row r="11" spans="1:7" ht="30">
      <c r="A11" s="52">
        <v>3</v>
      </c>
      <c r="B11" s="56" t="s">
        <v>22</v>
      </c>
      <c r="C11" s="56" t="s">
        <v>13</v>
      </c>
      <c r="D11" s="55">
        <f>E11*12*$D$2</f>
        <v>124.13911551530904</v>
      </c>
      <c r="E11" s="58">
        <v>0.13701889129725062</v>
      </c>
      <c r="F11" s="67"/>
      <c r="G11" s="63"/>
    </row>
    <row r="12" spans="1:6" ht="90">
      <c r="A12" s="52">
        <v>4</v>
      </c>
      <c r="B12" s="56" t="s">
        <v>108</v>
      </c>
      <c r="C12" s="56" t="s">
        <v>13</v>
      </c>
      <c r="D12" s="55">
        <f>E12*12*$D$2</f>
        <v>840.0818285090046</v>
      </c>
      <c r="E12" s="55">
        <v>0.9272426363234045</v>
      </c>
      <c r="F12" s="41"/>
    </row>
    <row r="13" spans="1:6" ht="15">
      <c r="A13" s="289" t="s">
        <v>132</v>
      </c>
      <c r="B13" s="290"/>
      <c r="C13" s="290"/>
      <c r="D13" s="68">
        <f>SUM(D14:D15)</f>
        <v>1470.0879370861571</v>
      </c>
      <c r="E13" s="68">
        <f>SUM(E14:E15)</f>
        <v>1.6226136170928889</v>
      </c>
      <c r="F13" s="41"/>
    </row>
    <row r="14" spans="1:6" ht="75">
      <c r="A14" s="69">
        <v>5</v>
      </c>
      <c r="B14" s="56" t="s">
        <v>88</v>
      </c>
      <c r="C14" s="56" t="s">
        <v>13</v>
      </c>
      <c r="D14" s="55">
        <f>E14*12*$D$2</f>
        <v>176.0703397038745</v>
      </c>
      <c r="E14" s="55">
        <v>0.19433812329345973</v>
      </c>
      <c r="F14" s="41"/>
    </row>
    <row r="15" spans="1:6" ht="105">
      <c r="A15" s="52">
        <v>6</v>
      </c>
      <c r="B15" s="56" t="s">
        <v>71</v>
      </c>
      <c r="C15" s="56" t="s">
        <v>112</v>
      </c>
      <c r="D15" s="55">
        <f>E15*12*$D$2</f>
        <v>1294.0175973822827</v>
      </c>
      <c r="E15" s="64">
        <v>1.428275493799429</v>
      </c>
      <c r="F15" s="41"/>
    </row>
    <row r="16" spans="1:6" ht="15">
      <c r="A16" s="289" t="s">
        <v>134</v>
      </c>
      <c r="B16" s="289"/>
      <c r="C16" s="289"/>
      <c r="D16" s="70">
        <f>SUM(D17)</f>
        <v>284.7078249747253</v>
      </c>
      <c r="E16" s="70">
        <f>SUM(E17)</f>
        <v>0.3142470474334717</v>
      </c>
      <c r="F16" s="41"/>
    </row>
    <row r="17" spans="1:6" ht="15">
      <c r="A17" s="52">
        <v>7</v>
      </c>
      <c r="B17" s="56" t="s">
        <v>68</v>
      </c>
      <c r="C17" s="56" t="s">
        <v>115</v>
      </c>
      <c r="D17" s="55">
        <f>E17*12*$D$2</f>
        <v>284.7078249747253</v>
      </c>
      <c r="E17" s="101">
        <f>0.266185430463576+0.0480616169698957</f>
        <v>0.3142470474334717</v>
      </c>
      <c r="F17" s="41"/>
    </row>
    <row r="18" spans="1:6" ht="15">
      <c r="A18" s="43"/>
      <c r="B18" s="71" t="s">
        <v>120</v>
      </c>
      <c r="C18" s="71"/>
      <c r="D18" s="72">
        <f>D7+D10+D13+D16</f>
        <v>3755.215283704453</v>
      </c>
      <c r="E18" s="46">
        <f>E7+E10+E13+E16</f>
        <v>4.144829231461868</v>
      </c>
      <c r="F18" s="39"/>
    </row>
    <row r="19" spans="1:6" ht="7.5" customHeight="1">
      <c r="A19" s="73"/>
      <c r="B19" s="74"/>
      <c r="C19" s="75"/>
      <c r="D19" s="76"/>
      <c r="E19" s="77"/>
      <c r="F19" s="41"/>
    </row>
    <row r="20" spans="1:6" ht="105">
      <c r="A20" s="45" t="s">
        <v>3</v>
      </c>
      <c r="B20" s="45" t="s">
        <v>121</v>
      </c>
      <c r="C20" s="45" t="s">
        <v>122</v>
      </c>
      <c r="D20" s="45" t="s">
        <v>38</v>
      </c>
      <c r="E20" s="45" t="s">
        <v>181</v>
      </c>
      <c r="F20" s="45" t="s">
        <v>40</v>
      </c>
    </row>
    <row r="21" spans="1:6" ht="15">
      <c r="A21" s="45">
        <v>1</v>
      </c>
      <c r="B21" s="42" t="s">
        <v>41</v>
      </c>
      <c r="C21" s="45" t="s">
        <v>204</v>
      </c>
      <c r="D21" s="45">
        <v>2521.2</v>
      </c>
      <c r="E21" s="80">
        <f>D21/12/D2</f>
        <v>2.7827814569536424</v>
      </c>
      <c r="F21" s="81">
        <v>2</v>
      </c>
    </row>
    <row r="22" spans="1:6" ht="15">
      <c r="A22" s="45"/>
      <c r="B22" s="49" t="s">
        <v>36</v>
      </c>
      <c r="C22" s="44"/>
      <c r="D22" s="122">
        <f>D21+0.2</f>
        <v>2521.3999999999996</v>
      </c>
      <c r="E22" s="82">
        <f>SUM(E21:E21)</f>
        <v>2.7827814569536424</v>
      </c>
      <c r="F22" s="83"/>
    </row>
    <row r="23" spans="1:6" ht="9" customHeight="1">
      <c r="A23" s="73"/>
      <c r="B23" s="74"/>
      <c r="C23" s="84"/>
      <c r="D23" s="84"/>
      <c r="E23" s="84"/>
      <c r="F23" s="84"/>
    </row>
    <row r="24" spans="1:6" ht="29.25">
      <c r="A24" s="73"/>
      <c r="B24" s="74" t="s">
        <v>125</v>
      </c>
      <c r="C24" s="85">
        <f>D18+D22</f>
        <v>6276.615283704453</v>
      </c>
      <c r="D24" s="85"/>
      <c r="E24" s="85"/>
      <c r="F24" s="84"/>
    </row>
    <row r="25" spans="1:6" ht="15">
      <c r="A25" s="73"/>
      <c r="B25" s="74" t="s">
        <v>126</v>
      </c>
      <c r="C25" s="86">
        <f>E18+E22</f>
        <v>6.927610688415511</v>
      </c>
      <c r="D25" s="84"/>
      <c r="E25" s="84"/>
      <c r="F25" s="84"/>
    </row>
    <row r="26" spans="1:6" ht="5.25" customHeight="1">
      <c r="A26" s="73"/>
      <c r="B26" s="74"/>
      <c r="C26" s="86"/>
      <c r="D26" s="84"/>
      <c r="E26" s="84"/>
      <c r="F26" s="84"/>
    </row>
    <row r="27" spans="1:6" ht="33" customHeight="1">
      <c r="A27" s="287" t="s">
        <v>44</v>
      </c>
      <c r="B27" s="287"/>
      <c r="C27" s="287"/>
      <c r="D27" s="287"/>
      <c r="E27" s="287"/>
      <c r="F27" s="287"/>
    </row>
    <row r="28" spans="1:6" ht="15">
      <c r="A28" s="36"/>
      <c r="B28" s="36"/>
      <c r="C28" s="36"/>
      <c r="D28" s="41"/>
      <c r="E28" s="41"/>
      <c r="F28" s="41"/>
    </row>
    <row r="29" spans="1:6" ht="71.25">
      <c r="A29" s="42"/>
      <c r="B29" s="43" t="s">
        <v>4</v>
      </c>
      <c r="C29" s="43" t="s">
        <v>5</v>
      </c>
      <c r="D29" s="43" t="s">
        <v>6</v>
      </c>
      <c r="E29" s="43" t="s">
        <v>93</v>
      </c>
      <c r="F29" s="41"/>
    </row>
    <row r="30" spans="1:5" ht="31.5" customHeight="1">
      <c r="A30" s="288" t="s">
        <v>47</v>
      </c>
      <c r="B30" s="288"/>
      <c r="C30" s="288"/>
      <c r="D30" s="46">
        <f>D31</f>
        <v>9.06</v>
      </c>
      <c r="E30" s="46">
        <f>E31</f>
        <v>0.01</v>
      </c>
    </row>
    <row r="31" spans="1:5" ht="30">
      <c r="A31" s="52">
        <v>1</v>
      </c>
      <c r="B31" s="88" t="s">
        <v>51</v>
      </c>
      <c r="C31" s="88" t="s">
        <v>90</v>
      </c>
      <c r="D31" s="55">
        <f>E31*$D$2*12</f>
        <v>9.06</v>
      </c>
      <c r="E31" s="87">
        <v>0.01</v>
      </c>
    </row>
    <row r="32" spans="1:5" ht="32.25" customHeight="1">
      <c r="A32" s="288" t="s">
        <v>53</v>
      </c>
      <c r="B32" s="288"/>
      <c r="C32" s="288"/>
      <c r="D32" s="46">
        <f>D33</f>
        <v>54.36</v>
      </c>
      <c r="E32" s="46">
        <f>E33</f>
        <v>0.06</v>
      </c>
    </row>
    <row r="33" spans="1:5" ht="15">
      <c r="A33" s="52">
        <v>2</v>
      </c>
      <c r="B33" s="123" t="s">
        <v>17</v>
      </c>
      <c r="C33" s="42" t="s">
        <v>90</v>
      </c>
      <c r="D33" s="55">
        <f>E33*$D$2*12</f>
        <v>54.36</v>
      </c>
      <c r="E33" s="58">
        <v>0.06</v>
      </c>
    </row>
    <row r="34" spans="1:6" ht="15">
      <c r="A34" s="43"/>
      <c r="B34" s="71" t="s">
        <v>120</v>
      </c>
      <c r="C34" s="71"/>
      <c r="D34" s="72">
        <f>D30+D32</f>
        <v>63.42</v>
      </c>
      <c r="E34" s="46">
        <f>E30+E32</f>
        <v>0.06999999999999999</v>
      </c>
      <c r="F34" s="39"/>
    </row>
    <row r="35" spans="1:6" ht="15">
      <c r="A35" s="41"/>
      <c r="B35" s="41"/>
      <c r="C35" s="41"/>
      <c r="D35" s="41"/>
      <c r="E35" s="41"/>
      <c r="F35" s="41"/>
    </row>
    <row r="36" ht="69" customHeight="1"/>
    <row r="37" spans="1:6" ht="15">
      <c r="A37" s="41"/>
      <c r="B37" s="36" t="s">
        <v>205</v>
      </c>
      <c r="C37" s="37"/>
      <c r="D37" s="38">
        <v>117.2</v>
      </c>
      <c r="E37" s="39" t="s">
        <v>82</v>
      </c>
      <c r="F37" s="41"/>
    </row>
    <row r="38" spans="1:6" ht="15">
      <c r="A38" s="41"/>
      <c r="B38" s="40"/>
      <c r="C38" s="41"/>
      <c r="D38" s="41"/>
      <c r="E38" s="41"/>
      <c r="F38" s="41"/>
    </row>
    <row r="39" spans="1:6" ht="30.75" customHeight="1">
      <c r="A39" s="287" t="s">
        <v>62</v>
      </c>
      <c r="B39" s="287"/>
      <c r="C39" s="287"/>
      <c r="D39" s="287"/>
      <c r="E39" s="287"/>
      <c r="F39" s="41"/>
    </row>
    <row r="40" spans="1:6" ht="15">
      <c r="A40" s="36"/>
      <c r="B40" s="36"/>
      <c r="C40" s="36"/>
      <c r="D40" s="36"/>
      <c r="E40" s="36"/>
      <c r="F40" s="41"/>
    </row>
    <row r="41" spans="1:6" ht="71.25">
      <c r="A41" s="42"/>
      <c r="B41" s="43" t="s">
        <v>4</v>
      </c>
      <c r="C41" s="43" t="s">
        <v>5</v>
      </c>
      <c r="D41" s="43" t="s">
        <v>6</v>
      </c>
      <c r="E41" s="43" t="s">
        <v>93</v>
      </c>
      <c r="F41" s="41"/>
    </row>
    <row r="42" spans="1:7" ht="15">
      <c r="A42" s="291" t="s">
        <v>129</v>
      </c>
      <c r="B42" s="259"/>
      <c r="C42" s="260"/>
      <c r="D42" s="46">
        <f>SUM(D43:D44)</f>
        <v>1480.2836823132232</v>
      </c>
      <c r="E42" s="46">
        <f>SUM(E43:E44)</f>
        <v>1.0525339038063306</v>
      </c>
      <c r="F42" s="62"/>
      <c r="G42" s="63"/>
    </row>
    <row r="43" spans="1:7" ht="15.75" customHeight="1">
      <c r="A43" s="52">
        <v>1</v>
      </c>
      <c r="B43" s="42" t="s">
        <v>26</v>
      </c>
      <c r="C43" s="54" t="s">
        <v>101</v>
      </c>
      <c r="D43" s="55">
        <f>E43*$D$37*12</f>
        <v>1354.3309078803507</v>
      </c>
      <c r="E43" s="64">
        <v>0.9629770391640718</v>
      </c>
      <c r="F43" s="60"/>
      <c r="G43" s="63"/>
    </row>
    <row r="44" spans="1:7" ht="30">
      <c r="A44" s="52">
        <v>2</v>
      </c>
      <c r="B44" s="56" t="s">
        <v>28</v>
      </c>
      <c r="C44" s="56" t="s">
        <v>103</v>
      </c>
      <c r="D44" s="55">
        <f>E44*$D$37*12</f>
        <v>125.95277443287256</v>
      </c>
      <c r="E44" s="55">
        <v>0.08955686464225865</v>
      </c>
      <c r="F44" s="60"/>
      <c r="G44" s="63"/>
    </row>
    <row r="45" spans="1:7" ht="15">
      <c r="A45" s="291" t="s">
        <v>77</v>
      </c>
      <c r="B45" s="292"/>
      <c r="C45" s="293"/>
      <c r="D45" s="65">
        <f>SUM(D46:D47)</f>
        <v>1534.07834178345</v>
      </c>
      <c r="E45" s="65">
        <f>SUM(E46:E47)</f>
        <v>1.0907838038847057</v>
      </c>
      <c r="F45" s="60"/>
      <c r="G45" s="63"/>
    </row>
    <row r="46" spans="1:7" ht="30">
      <c r="A46" s="52">
        <v>3</v>
      </c>
      <c r="B46" s="56" t="s">
        <v>22</v>
      </c>
      <c r="C46" s="56" t="s">
        <v>13</v>
      </c>
      <c r="D46" s="55">
        <f>E46*$D$37*12</f>
        <v>160.37913606697373</v>
      </c>
      <c r="E46" s="58">
        <v>0.11403522189062411</v>
      </c>
      <c r="F46" s="67"/>
      <c r="G46" s="63"/>
    </row>
    <row r="47" spans="1:6" ht="90">
      <c r="A47" s="52">
        <v>4</v>
      </c>
      <c r="B47" s="56" t="s">
        <v>108</v>
      </c>
      <c r="C47" s="56" t="s">
        <v>13</v>
      </c>
      <c r="D47" s="55">
        <f>E47*$D$37*12</f>
        <v>1373.6992057164764</v>
      </c>
      <c r="E47" s="55">
        <v>0.9767485819940817</v>
      </c>
      <c r="F47" s="41"/>
    </row>
    <row r="48" spans="1:6" ht="15">
      <c r="A48" s="289" t="s">
        <v>132</v>
      </c>
      <c r="B48" s="290"/>
      <c r="C48" s="290"/>
      <c r="D48" s="68">
        <f>SUM(D49:D50)</f>
        <v>2395.698588019508</v>
      </c>
      <c r="E48" s="68">
        <f>SUM(E49:E50)</f>
        <v>1.7034261860206967</v>
      </c>
      <c r="F48" s="41"/>
    </row>
    <row r="49" spans="1:6" ht="75">
      <c r="A49" s="69">
        <v>5</v>
      </c>
      <c r="B49" s="56" t="s">
        <v>88</v>
      </c>
      <c r="C49" s="56" t="s">
        <v>13</v>
      </c>
      <c r="D49" s="55">
        <f>E49*$D$37*12</f>
        <v>290.6646375184395</v>
      </c>
      <c r="E49" s="55">
        <v>0.20667280824689954</v>
      </c>
      <c r="F49" s="41"/>
    </row>
    <row r="50" spans="1:6" ht="105">
      <c r="A50" s="52">
        <v>6</v>
      </c>
      <c r="B50" s="56" t="s">
        <v>71</v>
      </c>
      <c r="C50" s="56" t="s">
        <v>112</v>
      </c>
      <c r="D50" s="55">
        <f>E50*$D$37*12</f>
        <v>2105.0339505010684</v>
      </c>
      <c r="E50" s="64">
        <v>1.4967533777737971</v>
      </c>
      <c r="F50" s="41"/>
    </row>
    <row r="51" spans="1:6" ht="15">
      <c r="A51" s="289" t="s">
        <v>134</v>
      </c>
      <c r="B51" s="289"/>
      <c r="C51" s="289"/>
      <c r="D51" s="70">
        <f>SUM(D52)</f>
        <v>469.14478181199365</v>
      </c>
      <c r="E51" s="70">
        <f>SUM(E52)</f>
        <v>0.3335784853612014</v>
      </c>
      <c r="F51" s="41"/>
    </row>
    <row r="52" spans="1:6" ht="15">
      <c r="A52" s="52">
        <v>7</v>
      </c>
      <c r="B52" s="56" t="s">
        <v>68</v>
      </c>
      <c r="C52" s="56" t="s">
        <v>115</v>
      </c>
      <c r="D52" s="55">
        <f>E52*$D$37*12</f>
        <v>469.14478181199365</v>
      </c>
      <c r="E52" s="101">
        <f>0.285793515358362+0.0477849700028394</f>
        <v>0.3335784853612014</v>
      </c>
      <c r="F52" s="41"/>
    </row>
    <row r="53" spans="1:6" ht="15">
      <c r="A53" s="43"/>
      <c r="B53" s="71" t="s">
        <v>120</v>
      </c>
      <c r="C53" s="71"/>
      <c r="D53" s="72">
        <f>D42+D45+D48+D51</f>
        <v>5879.205393928174</v>
      </c>
      <c r="E53" s="46">
        <f>E42+E45+E48+E51</f>
        <v>4.180322379072934</v>
      </c>
      <c r="F53" s="39"/>
    </row>
    <row r="54" spans="1:6" ht="7.5" customHeight="1">
      <c r="A54" s="73"/>
      <c r="B54" s="74"/>
      <c r="C54" s="75"/>
      <c r="D54" s="76"/>
      <c r="E54" s="77"/>
      <c r="F54" s="41"/>
    </row>
    <row r="55" spans="1:6" ht="105">
      <c r="A55" s="45" t="s">
        <v>3</v>
      </c>
      <c r="B55" s="45" t="s">
        <v>121</v>
      </c>
      <c r="C55" s="45" t="s">
        <v>122</v>
      </c>
      <c r="D55" s="45" t="s">
        <v>38</v>
      </c>
      <c r="E55" s="45" t="s">
        <v>181</v>
      </c>
      <c r="F55" s="45" t="s">
        <v>40</v>
      </c>
    </row>
    <row r="56" spans="1:6" ht="15">
      <c r="A56" s="45">
        <v>1</v>
      </c>
      <c r="B56" s="42" t="s">
        <v>41</v>
      </c>
      <c r="C56" s="45" t="s">
        <v>206</v>
      </c>
      <c r="D56" s="45">
        <v>3094.08</v>
      </c>
      <c r="E56" s="80">
        <f>D56/12/D37</f>
        <v>2.1999999999999997</v>
      </c>
      <c r="F56" s="81">
        <v>2</v>
      </c>
    </row>
    <row r="57" spans="1:6" ht="15">
      <c r="A57" s="45"/>
      <c r="B57" s="49" t="s">
        <v>36</v>
      </c>
      <c r="C57" s="44"/>
      <c r="D57" s="122">
        <f>D56+0.4</f>
        <v>3094.48</v>
      </c>
      <c r="E57" s="82">
        <f>SUM(E56:E56)</f>
        <v>2.1999999999999997</v>
      </c>
      <c r="F57" s="83"/>
    </row>
    <row r="58" spans="1:6" ht="9" customHeight="1">
      <c r="A58" s="73"/>
      <c r="B58" s="74"/>
      <c r="C58" s="84"/>
      <c r="D58" s="84"/>
      <c r="E58" s="84"/>
      <c r="F58" s="84"/>
    </row>
    <row r="59" spans="1:6" ht="29.25">
      <c r="A59" s="73"/>
      <c r="B59" s="74" t="s">
        <v>125</v>
      </c>
      <c r="C59" s="85">
        <f>D53+D57</f>
        <v>8973.685393928174</v>
      </c>
      <c r="D59" s="85"/>
      <c r="E59" s="85"/>
      <c r="F59" s="84"/>
    </row>
    <row r="60" spans="1:6" ht="15">
      <c r="A60" s="73"/>
      <c r="B60" s="74" t="s">
        <v>126</v>
      </c>
      <c r="C60" s="86">
        <f>E53+E57</f>
        <v>6.380322379072934</v>
      </c>
      <c r="D60" s="84"/>
      <c r="E60" s="84"/>
      <c r="F60" s="84"/>
    </row>
    <row r="61" spans="1:6" ht="5.25" customHeight="1">
      <c r="A61" s="73"/>
      <c r="B61" s="74"/>
      <c r="C61" s="86"/>
      <c r="D61" s="84"/>
      <c r="E61" s="84"/>
      <c r="F61" s="84"/>
    </row>
    <row r="62" spans="1:6" ht="33" customHeight="1">
      <c r="A62" s="287" t="s">
        <v>44</v>
      </c>
      <c r="B62" s="287"/>
      <c r="C62" s="287"/>
      <c r="D62" s="287"/>
      <c r="E62" s="287"/>
      <c r="F62" s="287"/>
    </row>
    <row r="63" spans="1:6" ht="15">
      <c r="A63" s="36"/>
      <c r="B63" s="36"/>
      <c r="C63" s="36"/>
      <c r="D63" s="41"/>
      <c r="E63" s="41"/>
      <c r="F63" s="41"/>
    </row>
    <row r="64" spans="1:6" ht="71.25">
      <c r="A64" s="42"/>
      <c r="B64" s="43" t="s">
        <v>4</v>
      </c>
      <c r="C64" s="43" t="s">
        <v>5</v>
      </c>
      <c r="D64" s="43" t="s">
        <v>6</v>
      </c>
      <c r="E64" s="43" t="s">
        <v>93</v>
      </c>
      <c r="F64" s="41"/>
    </row>
    <row r="65" spans="1:5" ht="30.75" customHeight="1">
      <c r="A65" s="288" t="s">
        <v>47</v>
      </c>
      <c r="B65" s="288"/>
      <c r="C65" s="288"/>
      <c r="D65" s="46">
        <f>D66</f>
        <v>14.064000000000002</v>
      </c>
      <c r="E65" s="46">
        <f>E66</f>
        <v>0.01</v>
      </c>
    </row>
    <row r="66" spans="1:5" ht="30">
      <c r="A66" s="52">
        <v>1</v>
      </c>
      <c r="B66" s="88" t="s">
        <v>51</v>
      </c>
      <c r="C66" s="88" t="s">
        <v>90</v>
      </c>
      <c r="D66" s="55">
        <f>E66*D37*12</f>
        <v>14.064000000000002</v>
      </c>
      <c r="E66" s="87">
        <v>0.01</v>
      </c>
    </row>
    <row r="67" spans="1:5" ht="32.25" customHeight="1">
      <c r="A67" s="288" t="s">
        <v>53</v>
      </c>
      <c r="B67" s="288"/>
      <c r="C67" s="288"/>
      <c r="D67" s="46">
        <f>D68</f>
        <v>84.384</v>
      </c>
      <c r="E67" s="46">
        <f>E68</f>
        <v>0.06</v>
      </c>
    </row>
    <row r="68" spans="1:5" ht="15">
      <c r="A68" s="52">
        <v>2</v>
      </c>
      <c r="B68" s="123" t="s">
        <v>17</v>
      </c>
      <c r="C68" s="42" t="s">
        <v>90</v>
      </c>
      <c r="D68" s="55">
        <f>E68*D37*12</f>
        <v>84.384</v>
      </c>
      <c r="E68" s="58">
        <v>0.06</v>
      </c>
    </row>
    <row r="69" spans="1:6" ht="15">
      <c r="A69" s="43"/>
      <c r="B69" s="71" t="s">
        <v>120</v>
      </c>
      <c r="C69" s="71"/>
      <c r="D69" s="72">
        <f>D65+D67</f>
        <v>98.44800000000001</v>
      </c>
      <c r="E69" s="46">
        <f>E65+E67</f>
        <v>0.06999999999999999</v>
      </c>
      <c r="F69" s="39"/>
    </row>
    <row r="72" spans="1:6" ht="15">
      <c r="A72" s="41"/>
      <c r="B72" s="36" t="s">
        <v>207</v>
      </c>
      <c r="C72" s="37"/>
      <c r="D72" s="38">
        <v>346.3</v>
      </c>
      <c r="E72" s="39" t="s">
        <v>82</v>
      </c>
      <c r="F72" s="41"/>
    </row>
    <row r="73" spans="1:6" ht="15">
      <c r="A73" s="41"/>
      <c r="B73" s="40"/>
      <c r="C73" s="41"/>
      <c r="D73" s="41"/>
      <c r="E73" s="41"/>
      <c r="F73" s="41"/>
    </row>
    <row r="74" spans="1:6" ht="30.75" customHeight="1">
      <c r="A74" s="287" t="s">
        <v>62</v>
      </c>
      <c r="B74" s="287"/>
      <c r="C74" s="287"/>
      <c r="D74" s="287"/>
      <c r="E74" s="287"/>
      <c r="F74" s="41"/>
    </row>
    <row r="75" spans="1:6" ht="6" customHeight="1">
      <c r="A75" s="36"/>
      <c r="B75" s="36"/>
      <c r="C75" s="36"/>
      <c r="D75" s="36"/>
      <c r="E75" s="36"/>
      <c r="F75" s="41"/>
    </row>
    <row r="76" spans="1:6" ht="71.25">
      <c r="A76" s="42"/>
      <c r="B76" s="43" t="s">
        <v>4</v>
      </c>
      <c r="C76" s="43" t="s">
        <v>5</v>
      </c>
      <c r="D76" s="43" t="s">
        <v>6</v>
      </c>
      <c r="E76" s="43" t="s">
        <v>93</v>
      </c>
      <c r="F76" s="41"/>
    </row>
    <row r="77" spans="1:7" ht="15">
      <c r="A77" s="291" t="s">
        <v>129</v>
      </c>
      <c r="B77" s="259"/>
      <c r="C77" s="260"/>
      <c r="D77" s="46">
        <f>SUM(D78:D79)</f>
        <v>1924.3687870071906</v>
      </c>
      <c r="E77" s="46">
        <f>SUM(E78:E79)</f>
        <v>0.4630784452322626</v>
      </c>
      <c r="F77" s="62"/>
      <c r="G77" s="63"/>
    </row>
    <row r="78" spans="1:7" ht="15.75" customHeight="1">
      <c r="A78" s="52">
        <v>1</v>
      </c>
      <c r="B78" s="42" t="s">
        <v>26</v>
      </c>
      <c r="C78" s="54" t="s">
        <v>101</v>
      </c>
      <c r="D78" s="55">
        <f>E78*$D$72*12</f>
        <v>1760.6301802444564</v>
      </c>
      <c r="E78" s="64">
        <v>0.4236765281173492</v>
      </c>
      <c r="F78" s="60"/>
      <c r="G78" s="63"/>
    </row>
    <row r="79" spans="1:7" ht="30">
      <c r="A79" s="52">
        <v>2</v>
      </c>
      <c r="B79" s="56" t="s">
        <v>28</v>
      </c>
      <c r="C79" s="56" t="s">
        <v>103</v>
      </c>
      <c r="D79" s="55">
        <f>E79*$D$72*12</f>
        <v>163.73860676273426</v>
      </c>
      <c r="E79" s="55">
        <v>0.039401917114913435</v>
      </c>
      <c r="F79" s="60"/>
      <c r="G79" s="63"/>
    </row>
    <row r="80" spans="1:7" ht="15">
      <c r="A80" s="291" t="s">
        <v>77</v>
      </c>
      <c r="B80" s="292"/>
      <c r="C80" s="293"/>
      <c r="D80" s="65">
        <f>SUM(D81:D83)</f>
        <v>4681.775888646373</v>
      </c>
      <c r="E80" s="65">
        <f>SUM(E81:E83)</f>
        <v>1.126618512043116</v>
      </c>
      <c r="F80" s="60"/>
      <c r="G80" s="63"/>
    </row>
    <row r="81" spans="1:7" ht="15.75" customHeight="1">
      <c r="A81" s="52">
        <v>3</v>
      </c>
      <c r="B81" s="56" t="s">
        <v>21</v>
      </c>
      <c r="C81" s="56" t="s">
        <v>13</v>
      </c>
      <c r="D81" s="55">
        <f>E81*$D$72*12</f>
        <v>47.190229951249336</v>
      </c>
      <c r="E81" s="58">
        <v>0.01135581623622325</v>
      </c>
      <c r="F81" s="47"/>
      <c r="G81" s="66"/>
    </row>
    <row r="82" spans="1:7" ht="30">
      <c r="A82" s="52">
        <v>4</v>
      </c>
      <c r="B82" s="56" t="s">
        <v>22</v>
      </c>
      <c r="C82" s="56" t="s">
        <v>13</v>
      </c>
      <c r="D82" s="55">
        <f>E82*$D$72*12</f>
        <v>490.5714750283902</v>
      </c>
      <c r="E82" s="58">
        <v>0.118050696657135</v>
      </c>
      <c r="F82" s="67"/>
      <c r="G82" s="63"/>
    </row>
    <row r="83" spans="1:6" ht="90">
      <c r="A83" s="52">
        <v>5</v>
      </c>
      <c r="B83" s="56" t="s">
        <v>108</v>
      </c>
      <c r="C83" s="56" t="s">
        <v>13</v>
      </c>
      <c r="D83" s="55">
        <f>E83*$D$72*12</f>
        <v>4144.014183666733</v>
      </c>
      <c r="E83" s="55">
        <v>0.9972119991497577</v>
      </c>
      <c r="F83" s="41"/>
    </row>
    <row r="84" spans="1:6" ht="15">
      <c r="A84" s="289" t="s">
        <v>132</v>
      </c>
      <c r="B84" s="290"/>
      <c r="C84" s="290"/>
      <c r="D84" s="68">
        <f>SUM(D85:D86)</f>
        <v>7190.1657024127435</v>
      </c>
      <c r="E84" s="68">
        <f>SUM(E85:E86)</f>
        <v>1.7302352734653823</v>
      </c>
      <c r="F84" s="41"/>
    </row>
    <row r="85" spans="1:6" ht="75">
      <c r="A85" s="69">
        <v>6</v>
      </c>
      <c r="B85" s="56" t="s">
        <v>88</v>
      </c>
      <c r="C85" s="56" t="s">
        <v>13</v>
      </c>
      <c r="D85" s="55">
        <f>E85*$D$72*12</f>
        <v>776.549844682406</v>
      </c>
      <c r="E85" s="55">
        <v>0.18686828488844115</v>
      </c>
      <c r="F85" s="41"/>
    </row>
    <row r="86" spans="1:6" ht="105">
      <c r="A86" s="52">
        <v>7</v>
      </c>
      <c r="B86" s="56" t="s">
        <v>71</v>
      </c>
      <c r="C86" s="56" t="s">
        <v>112</v>
      </c>
      <c r="D86" s="55">
        <f>E86*$D$72*12</f>
        <v>6413.615857730338</v>
      </c>
      <c r="E86" s="64">
        <v>1.5433669885769412</v>
      </c>
      <c r="F86" s="41"/>
    </row>
    <row r="87" spans="1:6" ht="15">
      <c r="A87" s="289" t="s">
        <v>134</v>
      </c>
      <c r="B87" s="289"/>
      <c r="C87" s="289"/>
      <c r="D87" s="70">
        <f>SUM(D88)</f>
        <v>1208.4481588629465</v>
      </c>
      <c r="E87" s="70">
        <f>SUM(E88)</f>
        <v>0.2907999227218564</v>
      </c>
      <c r="F87" s="41"/>
    </row>
    <row r="88" spans="1:6" ht="15">
      <c r="A88" s="52">
        <v>8</v>
      </c>
      <c r="B88" s="56" t="s">
        <v>68</v>
      </c>
      <c r="C88" s="56" t="s">
        <v>115</v>
      </c>
      <c r="D88" s="55">
        <f>E88*$D$72*12</f>
        <v>1208.4481588629465</v>
      </c>
      <c r="E88" s="101">
        <f>0.251478486861103+0.0393214358607534</f>
        <v>0.2907999227218564</v>
      </c>
      <c r="F88" s="41"/>
    </row>
    <row r="89" spans="1:6" ht="15">
      <c r="A89" s="43"/>
      <c r="B89" s="71" t="s">
        <v>120</v>
      </c>
      <c r="C89" s="71"/>
      <c r="D89" s="72">
        <f>D77+D80+D84+D87</f>
        <v>15004.758536929254</v>
      </c>
      <c r="E89" s="46">
        <f>E77+E80+E84+E87</f>
        <v>3.6107321534626173</v>
      </c>
      <c r="F89" s="39"/>
    </row>
    <row r="90" spans="1:6" ht="15">
      <c r="A90" s="126"/>
      <c r="B90" s="127"/>
      <c r="C90" s="127"/>
      <c r="D90" s="128"/>
      <c r="E90" s="48"/>
      <c r="F90" s="39"/>
    </row>
    <row r="91" spans="1:6" ht="7.5" customHeight="1">
      <c r="A91" s="73"/>
      <c r="B91" s="74"/>
      <c r="C91" s="75"/>
      <c r="D91" s="76"/>
      <c r="E91" s="77"/>
      <c r="F91" s="41"/>
    </row>
    <row r="92" spans="1:6" ht="105">
      <c r="A92" s="45" t="s">
        <v>3</v>
      </c>
      <c r="B92" s="45" t="s">
        <v>121</v>
      </c>
      <c r="C92" s="45" t="s">
        <v>122</v>
      </c>
      <c r="D92" s="45" t="s">
        <v>38</v>
      </c>
      <c r="E92" s="45" t="s">
        <v>181</v>
      </c>
      <c r="F92" s="45" t="s">
        <v>40</v>
      </c>
    </row>
    <row r="93" spans="1:6" ht="15">
      <c r="A93" s="45">
        <v>1</v>
      </c>
      <c r="B93" s="42" t="s">
        <v>41</v>
      </c>
      <c r="C93" s="45" t="s">
        <v>208</v>
      </c>
      <c r="D93" s="45">
        <v>9142.32</v>
      </c>
      <c r="E93" s="80">
        <f>D93/12/D72</f>
        <v>2.2</v>
      </c>
      <c r="F93" s="81">
        <v>2</v>
      </c>
    </row>
    <row r="94" spans="1:6" ht="15">
      <c r="A94" s="45"/>
      <c r="B94" s="49" t="s">
        <v>36</v>
      </c>
      <c r="C94" s="44"/>
      <c r="D94" s="122">
        <f>D93</f>
        <v>9142.32</v>
      </c>
      <c r="E94" s="82">
        <f>SUM(E93:E93)</f>
        <v>2.2</v>
      </c>
      <c r="F94" s="83"/>
    </row>
    <row r="95" spans="1:6" ht="9" customHeight="1">
      <c r="A95" s="73"/>
      <c r="B95" s="74"/>
      <c r="C95" s="84"/>
      <c r="D95" s="84"/>
      <c r="E95" s="84"/>
      <c r="F95" s="84"/>
    </row>
    <row r="96" spans="1:6" ht="29.25">
      <c r="A96" s="73"/>
      <c r="B96" s="74" t="s">
        <v>125</v>
      </c>
      <c r="C96" s="85">
        <f>D89+D94</f>
        <v>24147.078536929253</v>
      </c>
      <c r="D96" s="85"/>
      <c r="E96" s="85"/>
      <c r="F96" s="84"/>
    </row>
    <row r="97" spans="1:6" ht="15">
      <c r="A97" s="73"/>
      <c r="B97" s="74" t="s">
        <v>126</v>
      </c>
      <c r="C97" s="86">
        <f>E89+E94</f>
        <v>5.8107321534626175</v>
      </c>
      <c r="D97" s="84"/>
      <c r="E97" s="84"/>
      <c r="F97" s="84"/>
    </row>
    <row r="98" spans="1:6" ht="5.25" customHeight="1">
      <c r="A98" s="73"/>
      <c r="B98" s="74"/>
      <c r="C98" s="86"/>
      <c r="D98" s="84"/>
      <c r="E98" s="84"/>
      <c r="F98" s="84"/>
    </row>
    <row r="99" spans="1:6" ht="33" customHeight="1">
      <c r="A99" s="287" t="s">
        <v>44</v>
      </c>
      <c r="B99" s="287"/>
      <c r="C99" s="287"/>
      <c r="D99" s="287"/>
      <c r="E99" s="287"/>
      <c r="F99" s="287"/>
    </row>
    <row r="100" spans="1:6" ht="15">
      <c r="A100" s="36"/>
      <c r="B100" s="36"/>
      <c r="C100" s="36"/>
      <c r="D100" s="41"/>
      <c r="E100" s="41"/>
      <c r="F100" s="41"/>
    </row>
    <row r="101" spans="1:6" ht="71.25">
      <c r="A101" s="42"/>
      <c r="B101" s="43" t="s">
        <v>4</v>
      </c>
      <c r="C101" s="43" t="s">
        <v>5</v>
      </c>
      <c r="D101" s="43" t="s">
        <v>6</v>
      </c>
      <c r="E101" s="43" t="s">
        <v>93</v>
      </c>
      <c r="F101" s="41"/>
    </row>
    <row r="102" spans="1:5" ht="30.75" customHeight="1">
      <c r="A102" s="288" t="s">
        <v>47</v>
      </c>
      <c r="B102" s="288"/>
      <c r="C102" s="288"/>
      <c r="D102" s="46">
        <f>D103</f>
        <v>41.556</v>
      </c>
      <c r="E102" s="46">
        <f>E103</f>
        <v>0.01</v>
      </c>
    </row>
    <row r="103" spans="1:5" ht="30">
      <c r="A103" s="52">
        <v>1</v>
      </c>
      <c r="B103" s="88" t="s">
        <v>51</v>
      </c>
      <c r="C103" s="88" t="s">
        <v>90</v>
      </c>
      <c r="D103" s="55">
        <f>E103*D72*12</f>
        <v>41.556</v>
      </c>
      <c r="E103" s="87">
        <v>0.01</v>
      </c>
    </row>
    <row r="104" spans="1:5" ht="32.25" customHeight="1">
      <c r="A104" s="288" t="s">
        <v>53</v>
      </c>
      <c r="B104" s="288"/>
      <c r="C104" s="288"/>
      <c r="D104" s="46">
        <f>D105</f>
        <v>249.33599999999998</v>
      </c>
      <c r="E104" s="46">
        <f>E105</f>
        <v>0.06</v>
      </c>
    </row>
    <row r="105" spans="1:5" ht="15">
      <c r="A105" s="52">
        <v>2</v>
      </c>
      <c r="B105" s="123" t="s">
        <v>17</v>
      </c>
      <c r="C105" s="42" t="s">
        <v>90</v>
      </c>
      <c r="D105" s="55">
        <f>E105*D72*12</f>
        <v>249.33599999999998</v>
      </c>
      <c r="E105" s="58">
        <v>0.06</v>
      </c>
    </row>
    <row r="106" spans="1:6" ht="15">
      <c r="A106" s="43"/>
      <c r="B106" s="71" t="s">
        <v>120</v>
      </c>
      <c r="C106" s="71"/>
      <c r="D106" s="72">
        <f>D102+D104</f>
        <v>290.892</v>
      </c>
      <c r="E106" s="46">
        <f>E102+E104</f>
        <v>0.06999999999999999</v>
      </c>
      <c r="F106" s="39"/>
    </row>
    <row r="107" spans="1:6" ht="15">
      <c r="A107" s="41"/>
      <c r="B107" s="41"/>
      <c r="C107" s="41"/>
      <c r="D107" s="41"/>
      <c r="E107" s="41"/>
      <c r="F107" s="41"/>
    </row>
    <row r="108" spans="1:6" ht="15">
      <c r="A108" s="78"/>
      <c r="B108" s="78"/>
      <c r="C108" s="78"/>
      <c r="D108" s="78"/>
      <c r="E108" s="78"/>
      <c r="F108" s="79"/>
    </row>
    <row r="109" spans="1:6" ht="105">
      <c r="A109" s="45" t="s">
        <v>3</v>
      </c>
      <c r="B109" s="45" t="s">
        <v>121</v>
      </c>
      <c r="C109" s="45" t="s">
        <v>122</v>
      </c>
      <c r="D109" s="45" t="s">
        <v>38</v>
      </c>
      <c r="E109" s="45" t="s">
        <v>196</v>
      </c>
      <c r="F109" s="45" t="s">
        <v>40</v>
      </c>
    </row>
    <row r="110" spans="1:6" ht="15">
      <c r="A110" s="45">
        <v>1</v>
      </c>
      <c r="B110" s="42" t="s">
        <v>41</v>
      </c>
      <c r="C110" s="45" t="s">
        <v>159</v>
      </c>
      <c r="D110" s="90">
        <v>1001.35</v>
      </c>
      <c r="E110" s="91">
        <f>D110/12/D72</f>
        <v>0.24096400038502264</v>
      </c>
      <c r="F110" s="81">
        <v>2</v>
      </c>
    </row>
    <row r="111" spans="1:6" ht="15">
      <c r="A111" s="92"/>
      <c r="B111" s="92" t="s">
        <v>36</v>
      </c>
      <c r="C111" s="92"/>
      <c r="D111" s="100">
        <f>D110</f>
        <v>1001.35</v>
      </c>
      <c r="E111" s="100">
        <f>E110</f>
        <v>0.24096400038502264</v>
      </c>
      <c r="F111" s="92"/>
    </row>
    <row r="114" spans="1:6" ht="15">
      <c r="A114" s="41"/>
      <c r="B114" s="36" t="s">
        <v>209</v>
      </c>
      <c r="C114" s="37"/>
      <c r="D114" s="38">
        <v>346.3</v>
      </c>
      <c r="E114" s="39" t="s">
        <v>82</v>
      </c>
      <c r="F114" s="41"/>
    </row>
    <row r="115" spans="1:6" ht="15">
      <c r="A115" s="41"/>
      <c r="B115" s="40"/>
      <c r="C115" s="41"/>
      <c r="D115" s="41"/>
      <c r="E115" s="41"/>
      <c r="F115" s="41"/>
    </row>
    <row r="116" spans="1:6" ht="30.75" customHeight="1">
      <c r="A116" s="287" t="s">
        <v>62</v>
      </c>
      <c r="B116" s="287"/>
      <c r="C116" s="287"/>
      <c r="D116" s="287"/>
      <c r="E116" s="287"/>
      <c r="F116" s="41"/>
    </row>
    <row r="117" spans="1:6" ht="6" customHeight="1">
      <c r="A117" s="36"/>
      <c r="B117" s="36"/>
      <c r="C117" s="36"/>
      <c r="D117" s="36"/>
      <c r="E117" s="36"/>
      <c r="F117" s="41"/>
    </row>
    <row r="118" spans="1:6" ht="71.25">
      <c r="A118" s="42"/>
      <c r="B118" s="43" t="s">
        <v>4</v>
      </c>
      <c r="C118" s="43" t="s">
        <v>5</v>
      </c>
      <c r="D118" s="43" t="s">
        <v>6</v>
      </c>
      <c r="E118" s="43" t="s">
        <v>93</v>
      </c>
      <c r="F118" s="41"/>
    </row>
    <row r="119" spans="1:7" ht="15">
      <c r="A119" s="291" t="s">
        <v>129</v>
      </c>
      <c r="B119" s="259"/>
      <c r="C119" s="260"/>
      <c r="D119" s="46">
        <f>SUM(D120:D121)</f>
        <v>1184.22694585058</v>
      </c>
      <c r="E119" s="46">
        <f>SUM(E120:E121)</f>
        <v>0.2849713509121619</v>
      </c>
      <c r="F119" s="62"/>
      <c r="G119" s="63"/>
    </row>
    <row r="120" spans="1:7" ht="15.75" customHeight="1">
      <c r="A120" s="52">
        <v>1</v>
      </c>
      <c r="B120" s="42" t="s">
        <v>26</v>
      </c>
      <c r="C120" s="54" t="s">
        <v>101</v>
      </c>
      <c r="D120" s="55">
        <f>E120*$D$114*12</f>
        <v>1083.464726304282</v>
      </c>
      <c r="E120" s="64">
        <v>0.26072401730298445</v>
      </c>
      <c r="F120" s="60"/>
      <c r="G120" s="63"/>
    </row>
    <row r="121" spans="1:7" ht="30">
      <c r="A121" s="52">
        <v>2</v>
      </c>
      <c r="B121" s="56" t="s">
        <v>28</v>
      </c>
      <c r="C121" s="56" t="s">
        <v>103</v>
      </c>
      <c r="D121" s="55">
        <f>E121*$D$114*12</f>
        <v>100.7622195462979</v>
      </c>
      <c r="E121" s="55">
        <v>0.024247333609177472</v>
      </c>
      <c r="F121" s="60"/>
      <c r="G121" s="63"/>
    </row>
    <row r="122" spans="1:7" ht="15">
      <c r="A122" s="291" t="s">
        <v>77</v>
      </c>
      <c r="B122" s="292"/>
      <c r="C122" s="293"/>
      <c r="D122" s="65">
        <f>SUM(D123:D125)</f>
        <v>4771.319845286659</v>
      </c>
      <c r="E122" s="65">
        <f>SUM(E123:E125)</f>
        <v>1.148166292541789</v>
      </c>
      <c r="F122" s="60"/>
      <c r="G122" s="63"/>
    </row>
    <row r="123" spans="1:7" ht="30">
      <c r="A123" s="52">
        <v>3</v>
      </c>
      <c r="B123" s="56" t="s">
        <v>22</v>
      </c>
      <c r="C123" s="56" t="s">
        <v>13</v>
      </c>
      <c r="D123" s="55">
        <f>E123*$D$114*12</f>
        <v>327.2860212001418</v>
      </c>
      <c r="E123" s="58">
        <v>0.07875782587355419</v>
      </c>
      <c r="F123" s="67"/>
      <c r="G123" s="63"/>
    </row>
    <row r="124" spans="1:6" ht="30">
      <c r="A124" s="52">
        <v>4</v>
      </c>
      <c r="B124" s="56" t="s">
        <v>23</v>
      </c>
      <c r="C124" s="56" t="s">
        <v>13</v>
      </c>
      <c r="D124" s="55">
        <f>E124*$D$114*12</f>
        <v>166.2910035444092</v>
      </c>
      <c r="E124" s="58">
        <v>0.040016123675139376</v>
      </c>
      <c r="F124" s="41"/>
    </row>
    <row r="125" spans="1:6" ht="90">
      <c r="A125" s="52">
        <v>5</v>
      </c>
      <c r="B125" s="56" t="s">
        <v>108</v>
      </c>
      <c r="C125" s="56" t="s">
        <v>13</v>
      </c>
      <c r="D125" s="55">
        <f>E125*$D$114*12</f>
        <v>4277.742820542108</v>
      </c>
      <c r="E125" s="55">
        <v>1.0293923429930956</v>
      </c>
      <c r="F125" s="41"/>
    </row>
    <row r="126" spans="1:6" ht="15">
      <c r="A126" s="289" t="s">
        <v>132</v>
      </c>
      <c r="B126" s="290"/>
      <c r="C126" s="290"/>
      <c r="D126" s="68">
        <f>SUM(D127:D128)</f>
        <v>7386.546145863044</v>
      </c>
      <c r="E126" s="68">
        <f>SUM(E127:E128)</f>
        <v>1.777492094008818</v>
      </c>
      <c r="F126" s="41"/>
    </row>
    <row r="127" spans="1:6" ht="75">
      <c r="A127" s="69">
        <v>6</v>
      </c>
      <c r="B127" s="56" t="s">
        <v>88</v>
      </c>
      <c r="C127" s="56" t="s">
        <v>13</v>
      </c>
      <c r="D127" s="55">
        <f>E127*$D$114*12</f>
        <v>834.8682904789857</v>
      </c>
      <c r="E127" s="55">
        <v>0.2009019853881475</v>
      </c>
      <c r="F127" s="41"/>
    </row>
    <row r="128" spans="1:6" ht="105">
      <c r="A128" s="52">
        <v>7</v>
      </c>
      <c r="B128" s="56" t="s">
        <v>71</v>
      </c>
      <c r="C128" s="56" t="s">
        <v>112</v>
      </c>
      <c r="D128" s="55">
        <f>E128*$D$114*12</f>
        <v>6551.677855384059</v>
      </c>
      <c r="E128" s="64">
        <v>1.5765901086206704</v>
      </c>
      <c r="F128" s="41"/>
    </row>
    <row r="129" spans="1:6" ht="15">
      <c r="A129" s="289" t="s">
        <v>134</v>
      </c>
      <c r="B129" s="289"/>
      <c r="C129" s="289"/>
      <c r="D129" s="70">
        <f>SUM(D130)</f>
        <v>1280.4909760457022</v>
      </c>
      <c r="E129" s="70">
        <f>SUM(E130)</f>
        <v>0.30813624411533885</v>
      </c>
      <c r="F129" s="41"/>
    </row>
    <row r="130" spans="1:6" ht="15">
      <c r="A130" s="52">
        <v>8</v>
      </c>
      <c r="B130" s="56" t="s">
        <v>68</v>
      </c>
      <c r="C130" s="56" t="s">
        <v>115</v>
      </c>
      <c r="D130" s="55">
        <f>E130*$D$114*12</f>
        <v>1280.4909760457022</v>
      </c>
      <c r="E130" s="101">
        <f>0.270822985850419+0.0373132582649199</f>
        <v>0.30813624411533885</v>
      </c>
      <c r="F130" s="41"/>
    </row>
    <row r="131" spans="1:6" ht="15">
      <c r="A131" s="43"/>
      <c r="B131" s="71" t="s">
        <v>120</v>
      </c>
      <c r="C131" s="71"/>
      <c r="D131" s="72">
        <f>D119+D122+D126+D129+0.4</f>
        <v>14622.983913045986</v>
      </c>
      <c r="E131" s="46">
        <f>E119+E122+E126+E129</f>
        <v>3.518765981578108</v>
      </c>
      <c r="F131" s="39"/>
    </row>
    <row r="132" spans="1:6" ht="7.5" customHeight="1">
      <c r="A132" s="73"/>
      <c r="B132" s="74"/>
      <c r="C132" s="75"/>
      <c r="D132" s="76"/>
      <c r="E132" s="77"/>
      <c r="F132" s="41"/>
    </row>
    <row r="133" spans="1:6" ht="105">
      <c r="A133" s="45" t="s">
        <v>3</v>
      </c>
      <c r="B133" s="45" t="s">
        <v>121</v>
      </c>
      <c r="C133" s="45" t="s">
        <v>122</v>
      </c>
      <c r="D133" s="45" t="s">
        <v>38</v>
      </c>
      <c r="E133" s="45" t="s">
        <v>181</v>
      </c>
      <c r="F133" s="45" t="s">
        <v>40</v>
      </c>
    </row>
    <row r="134" spans="1:6" ht="15">
      <c r="A134" s="45">
        <v>1</v>
      </c>
      <c r="B134" s="42" t="s">
        <v>41</v>
      </c>
      <c r="C134" s="45" t="s">
        <v>208</v>
      </c>
      <c r="D134" s="45">
        <v>9142.32</v>
      </c>
      <c r="E134" s="80">
        <f>D134/12/D114</f>
        <v>2.2</v>
      </c>
      <c r="F134" s="81">
        <v>2</v>
      </c>
    </row>
    <row r="135" spans="1:6" ht="15">
      <c r="A135" s="45"/>
      <c r="B135" s="49" t="s">
        <v>36</v>
      </c>
      <c r="C135" s="44"/>
      <c r="D135" s="122">
        <f>D134</f>
        <v>9142.32</v>
      </c>
      <c r="E135" s="82">
        <f>SUM(E134:E134)</f>
        <v>2.2</v>
      </c>
      <c r="F135" s="83"/>
    </row>
    <row r="136" spans="1:6" ht="4.5" customHeight="1">
      <c r="A136" s="73"/>
      <c r="B136" s="74"/>
      <c r="C136" s="84"/>
      <c r="D136" s="84"/>
      <c r="E136" s="84"/>
      <c r="F136" s="84"/>
    </row>
    <row r="137" spans="1:6" ht="29.25">
      <c r="A137" s="73"/>
      <c r="B137" s="74" t="s">
        <v>125</v>
      </c>
      <c r="C137" s="85">
        <f>D131+D135</f>
        <v>23765.303913045987</v>
      </c>
      <c r="D137" s="85"/>
      <c r="E137" s="85"/>
      <c r="F137" s="84"/>
    </row>
    <row r="138" spans="1:6" ht="15">
      <c r="A138" s="73"/>
      <c r="B138" s="74" t="s">
        <v>126</v>
      </c>
      <c r="C138" s="86">
        <f>E131+E135</f>
        <v>5.718765981578108</v>
      </c>
      <c r="D138" s="84"/>
      <c r="E138" s="84"/>
      <c r="F138" s="84"/>
    </row>
    <row r="139" spans="1:6" ht="7.5" customHeight="1">
      <c r="A139" s="73"/>
      <c r="B139" s="74"/>
      <c r="C139" s="86"/>
      <c r="D139" s="84"/>
      <c r="E139" s="84"/>
      <c r="F139" s="84"/>
    </row>
    <row r="140" spans="1:6" ht="33" customHeight="1">
      <c r="A140" s="287" t="s">
        <v>44</v>
      </c>
      <c r="B140" s="287"/>
      <c r="C140" s="287"/>
      <c r="D140" s="287"/>
      <c r="E140" s="287"/>
      <c r="F140" s="287"/>
    </row>
    <row r="141" spans="1:6" ht="4.5" customHeight="1">
      <c r="A141" s="36"/>
      <c r="B141" s="36"/>
      <c r="C141" s="36"/>
      <c r="D141" s="41"/>
      <c r="E141" s="41"/>
      <c r="F141" s="41"/>
    </row>
    <row r="142" spans="1:6" ht="71.25">
      <c r="A142" s="42"/>
      <c r="B142" s="43" t="s">
        <v>4</v>
      </c>
      <c r="C142" s="43" t="s">
        <v>5</v>
      </c>
      <c r="D142" s="43" t="s">
        <v>6</v>
      </c>
      <c r="E142" s="43" t="s">
        <v>93</v>
      </c>
      <c r="F142" s="41"/>
    </row>
    <row r="143" spans="1:5" ht="30.75" customHeight="1">
      <c r="A143" s="288" t="s">
        <v>47</v>
      </c>
      <c r="B143" s="288"/>
      <c r="C143" s="288"/>
      <c r="D143" s="46">
        <f>D144</f>
        <v>41.556</v>
      </c>
      <c r="E143" s="46">
        <f>E144</f>
        <v>0.01</v>
      </c>
    </row>
    <row r="144" spans="1:5" ht="30">
      <c r="A144" s="52">
        <v>1</v>
      </c>
      <c r="B144" s="88" t="s">
        <v>51</v>
      </c>
      <c r="C144" s="88" t="s">
        <v>90</v>
      </c>
      <c r="D144" s="55">
        <f>E144*D114*12</f>
        <v>41.556</v>
      </c>
      <c r="E144" s="87">
        <v>0.01</v>
      </c>
    </row>
    <row r="145" spans="1:5" ht="32.25" customHeight="1">
      <c r="A145" s="288" t="s">
        <v>53</v>
      </c>
      <c r="B145" s="288"/>
      <c r="C145" s="288"/>
      <c r="D145" s="46">
        <f>D146</f>
        <v>249.33599999999998</v>
      </c>
      <c r="E145" s="46">
        <f>E146</f>
        <v>0.06</v>
      </c>
    </row>
    <row r="146" spans="1:5" ht="15">
      <c r="A146" s="52">
        <v>2</v>
      </c>
      <c r="B146" s="123" t="s">
        <v>17</v>
      </c>
      <c r="C146" s="42" t="s">
        <v>90</v>
      </c>
      <c r="D146" s="55">
        <f>E146*D114*12</f>
        <v>249.33599999999998</v>
      </c>
      <c r="E146" s="58">
        <v>0.06</v>
      </c>
    </row>
    <row r="147" spans="1:6" ht="15">
      <c r="A147" s="43"/>
      <c r="B147" s="71" t="s">
        <v>120</v>
      </c>
      <c r="C147" s="71"/>
      <c r="D147" s="72">
        <f>D143+D145</f>
        <v>290.892</v>
      </c>
      <c r="E147" s="46">
        <f>E143+E145</f>
        <v>0.06999999999999999</v>
      </c>
      <c r="F147" s="39"/>
    </row>
    <row r="148" spans="1:6" ht="15">
      <c r="A148" s="41"/>
      <c r="B148" s="41"/>
      <c r="C148" s="41"/>
      <c r="D148" s="41"/>
      <c r="E148" s="41"/>
      <c r="F148" s="41"/>
    </row>
    <row r="149" spans="1:6" ht="15">
      <c r="A149" s="78"/>
      <c r="B149" s="78"/>
      <c r="C149" s="78"/>
      <c r="D149" s="78"/>
      <c r="E149" s="78"/>
      <c r="F149" s="79"/>
    </row>
    <row r="150" spans="1:6" ht="105">
      <c r="A150" s="45" t="s">
        <v>3</v>
      </c>
      <c r="B150" s="45" t="s">
        <v>121</v>
      </c>
      <c r="C150" s="45" t="s">
        <v>122</v>
      </c>
      <c r="D150" s="45" t="s">
        <v>38</v>
      </c>
      <c r="E150" s="45" t="s">
        <v>196</v>
      </c>
      <c r="F150" s="45" t="s">
        <v>40</v>
      </c>
    </row>
    <row r="151" spans="1:6" ht="15">
      <c r="A151" s="45">
        <v>1</v>
      </c>
      <c r="B151" s="42" t="s">
        <v>41</v>
      </c>
      <c r="C151" s="45" t="s">
        <v>159</v>
      </c>
      <c r="D151" s="90">
        <v>1001.35</v>
      </c>
      <c r="E151" s="91">
        <f>D151/12/D114</f>
        <v>0.24096400038502264</v>
      </c>
      <c r="F151" s="81">
        <v>2</v>
      </c>
    </row>
    <row r="152" spans="1:6" ht="15">
      <c r="A152" s="92"/>
      <c r="B152" s="92" t="s">
        <v>36</v>
      </c>
      <c r="C152" s="92"/>
      <c r="D152" s="124">
        <f>D151+0.1</f>
        <v>1001.45</v>
      </c>
      <c r="E152" s="100">
        <f>E151</f>
        <v>0.24096400038502264</v>
      </c>
      <c r="F152" s="92"/>
    </row>
    <row r="154" spans="2:3" ht="29.25">
      <c r="B154" s="74" t="s">
        <v>295</v>
      </c>
      <c r="C154" s="85">
        <f>C24+C59+C96+C137</f>
        <v>63162.68312760787</v>
      </c>
    </row>
  </sheetData>
  <mergeCells count="33">
    <mergeCell ref="A140:F140"/>
    <mergeCell ref="A143:C143"/>
    <mergeCell ref="A145:C145"/>
    <mergeCell ref="A122:C122"/>
    <mergeCell ref="A126:C126"/>
    <mergeCell ref="A129:C129"/>
    <mergeCell ref="A102:C102"/>
    <mergeCell ref="A104:C104"/>
    <mergeCell ref="A116:E116"/>
    <mergeCell ref="A119:C119"/>
    <mergeCell ref="A84:C84"/>
    <mergeCell ref="A87:C87"/>
    <mergeCell ref="A99:F99"/>
    <mergeCell ref="A67:C67"/>
    <mergeCell ref="A74:E74"/>
    <mergeCell ref="A77:C77"/>
    <mergeCell ref="A80:C80"/>
    <mergeCell ref="A51:C51"/>
    <mergeCell ref="A62:F62"/>
    <mergeCell ref="A65:C65"/>
    <mergeCell ref="A39:E39"/>
    <mergeCell ref="A42:C42"/>
    <mergeCell ref="A45:C45"/>
    <mergeCell ref="A48:C48"/>
    <mergeCell ref="A32:C32"/>
    <mergeCell ref="A30:C30"/>
    <mergeCell ref="A1:E1"/>
    <mergeCell ref="A4:E4"/>
    <mergeCell ref="A7:C7"/>
    <mergeCell ref="A10:C10"/>
    <mergeCell ref="A13:C13"/>
    <mergeCell ref="A16:C16"/>
    <mergeCell ref="A27:F2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20">
      <selection activeCell="F32" sqref="F32"/>
    </sheetView>
  </sheetViews>
  <sheetFormatPr defaultColWidth="9.00390625" defaultRowHeight="12.75"/>
  <cols>
    <col min="1" max="1" width="3.00390625" style="335" customWidth="1"/>
    <col min="2" max="2" width="46.00390625" style="335" customWidth="1"/>
    <col min="3" max="3" width="16.875" style="335" customWidth="1"/>
    <col min="4" max="4" width="11.125" style="335" customWidth="1"/>
    <col min="5" max="5" width="11.625" style="335" customWidth="1"/>
    <col min="6" max="6" width="9.125" style="335" customWidth="1"/>
    <col min="7" max="7" width="0.6171875" style="335" customWidth="1"/>
    <col min="8" max="8" width="10.375" style="335" hidden="1" customWidth="1"/>
    <col min="9" max="16384" width="9.125" style="335" customWidth="1"/>
  </cols>
  <sheetData>
    <row r="1" spans="1:6" ht="15">
      <c r="A1" s="333" t="s">
        <v>309</v>
      </c>
      <c r="B1" s="333"/>
      <c r="C1" s="333"/>
      <c r="D1" s="333"/>
      <c r="E1" s="333"/>
      <c r="F1" s="334"/>
    </row>
    <row r="2" spans="1:6" ht="17.25" customHeight="1">
      <c r="A2" s="334"/>
      <c r="B2" s="336" t="s">
        <v>310</v>
      </c>
      <c r="C2" s="337"/>
      <c r="D2" s="338">
        <v>66.6</v>
      </c>
      <c r="E2" s="339" t="s">
        <v>82</v>
      </c>
      <c r="F2" s="334"/>
    </row>
    <row r="3" spans="1:6" ht="15">
      <c r="A3" s="334"/>
      <c r="B3" s="340"/>
      <c r="C3" s="334"/>
      <c r="D3" s="334"/>
      <c r="E3" s="334"/>
      <c r="F3" s="334"/>
    </row>
    <row r="4" spans="1:6" ht="30.75" customHeight="1">
      <c r="A4" s="333" t="s">
        <v>62</v>
      </c>
      <c r="B4" s="333"/>
      <c r="C4" s="333"/>
      <c r="D4" s="333"/>
      <c r="E4" s="333"/>
      <c r="F4" s="334"/>
    </row>
    <row r="5" spans="1:6" ht="15">
      <c r="A5" s="336"/>
      <c r="B5" s="336"/>
      <c r="C5" s="336"/>
      <c r="D5" s="336"/>
      <c r="E5" s="336"/>
      <c r="F5" s="334"/>
    </row>
    <row r="6" spans="1:11" ht="88.5" customHeight="1">
      <c r="A6" s="341"/>
      <c r="B6" s="342" t="s">
        <v>4</v>
      </c>
      <c r="C6" s="342" t="s">
        <v>5</v>
      </c>
      <c r="D6" s="342" t="s">
        <v>6</v>
      </c>
      <c r="E6" s="342" t="s">
        <v>93</v>
      </c>
      <c r="F6" s="334"/>
      <c r="K6" s="343"/>
    </row>
    <row r="7" spans="1:11" ht="15">
      <c r="A7" s="344" t="s">
        <v>129</v>
      </c>
      <c r="B7" s="345"/>
      <c r="C7" s="346"/>
      <c r="D7" s="347">
        <f>D8+D9</f>
        <v>298.9008</v>
      </c>
      <c r="E7" s="348">
        <f>E8+E9</f>
        <v>0.374</v>
      </c>
      <c r="F7" s="349" t="e">
        <f>E8+E9+#REF!</f>
        <v>#REF!</v>
      </c>
      <c r="G7" s="350"/>
      <c r="H7" s="343"/>
      <c r="K7" s="343"/>
    </row>
    <row r="8" spans="1:11" ht="18" customHeight="1">
      <c r="A8" s="351">
        <v>1</v>
      </c>
      <c r="B8" s="341" t="s">
        <v>26</v>
      </c>
      <c r="C8" s="352" t="s">
        <v>101</v>
      </c>
      <c r="D8" s="353">
        <f>E8*12*66.6</f>
        <v>272.5272</v>
      </c>
      <c r="E8" s="354">
        <v>0.341</v>
      </c>
      <c r="F8" s="355"/>
      <c r="G8" s="350"/>
      <c r="H8" s="343"/>
      <c r="K8" s="343"/>
    </row>
    <row r="9" spans="1:11" ht="42.75" customHeight="1">
      <c r="A9" s="351">
        <v>2</v>
      </c>
      <c r="B9" s="356" t="s">
        <v>28</v>
      </c>
      <c r="C9" s="356" t="s">
        <v>103</v>
      </c>
      <c r="D9" s="353">
        <f>E9*12*66.6</f>
        <v>26.3736</v>
      </c>
      <c r="E9" s="357">
        <v>0.033</v>
      </c>
      <c r="F9" s="355"/>
      <c r="G9" s="350"/>
      <c r="H9" s="343"/>
      <c r="K9" s="343"/>
    </row>
    <row r="10" spans="1:11" ht="15">
      <c r="A10" s="344" t="s">
        <v>77</v>
      </c>
      <c r="B10" s="345"/>
      <c r="C10" s="346"/>
      <c r="D10" s="358">
        <f>E10*12*66.6</f>
        <v>70.3296</v>
      </c>
      <c r="E10" s="359">
        <f>SUM(E11:E12)</f>
        <v>0.088</v>
      </c>
      <c r="F10" s="355"/>
      <c r="G10" s="350"/>
      <c r="H10" s="343"/>
      <c r="K10" s="343"/>
    </row>
    <row r="11" spans="1:11" ht="15">
      <c r="A11" s="351" t="s">
        <v>74</v>
      </c>
      <c r="B11" s="360" t="s">
        <v>21</v>
      </c>
      <c r="C11" s="356" t="s">
        <v>13</v>
      </c>
      <c r="D11" s="357">
        <f>E11*12*66.6</f>
        <v>43.955999999999996</v>
      </c>
      <c r="E11" s="361">
        <v>0.055</v>
      </c>
      <c r="F11" s="362" t="e">
        <f>D11+#REF!+#REF!+D12</f>
        <v>#REF!</v>
      </c>
      <c r="G11" s="363"/>
      <c r="H11" s="343"/>
      <c r="K11" s="343"/>
    </row>
    <row r="12" spans="1:11" ht="63.75" customHeight="1">
      <c r="A12" s="351" t="s">
        <v>130</v>
      </c>
      <c r="B12" s="356" t="s">
        <v>212</v>
      </c>
      <c r="C12" s="356" t="s">
        <v>13</v>
      </c>
      <c r="D12" s="357">
        <f>E12*12*66.6</f>
        <v>26.3736</v>
      </c>
      <c r="E12" s="364">
        <v>0.033</v>
      </c>
      <c r="F12" s="365"/>
      <c r="H12" s="343"/>
      <c r="K12" s="343"/>
    </row>
    <row r="13" spans="1:11" ht="15">
      <c r="A13" s="344" t="s">
        <v>132</v>
      </c>
      <c r="B13" s="345"/>
      <c r="C13" s="346"/>
      <c r="D13" s="366">
        <f>D14+D15</f>
        <v>1371.4271999999996</v>
      </c>
      <c r="E13" s="367">
        <f>E14+E15</f>
        <v>1.716</v>
      </c>
      <c r="F13" s="334"/>
      <c r="H13" s="343"/>
      <c r="K13" s="343"/>
    </row>
    <row r="14" spans="1:11" ht="77.25" customHeight="1">
      <c r="A14" s="351" t="s">
        <v>131</v>
      </c>
      <c r="B14" s="356" t="s">
        <v>88</v>
      </c>
      <c r="C14" s="356" t="s">
        <v>13</v>
      </c>
      <c r="D14" s="368">
        <f>E14*12*66.6</f>
        <v>114.2856</v>
      </c>
      <c r="E14" s="357">
        <v>0.14300000000000002</v>
      </c>
      <c r="F14" s="334"/>
      <c r="H14" s="343"/>
      <c r="K14" s="369"/>
    </row>
    <row r="15" spans="1:11" ht="15">
      <c r="A15" s="370" t="s">
        <v>133</v>
      </c>
      <c r="B15" s="371" t="s">
        <v>218</v>
      </c>
      <c r="C15" s="371" t="s">
        <v>112</v>
      </c>
      <c r="D15" s="372">
        <f>E15*12*66.6</f>
        <v>1257.1415999999997</v>
      </c>
      <c r="E15" s="373">
        <v>1.573</v>
      </c>
      <c r="F15" s="334"/>
      <c r="H15" s="374"/>
      <c r="K15" s="343"/>
    </row>
    <row r="16" spans="1:11" ht="92.25" customHeight="1">
      <c r="A16" s="375"/>
      <c r="B16" s="376"/>
      <c r="C16" s="376"/>
      <c r="D16" s="377">
        <f>E16*12*66.6</f>
        <v>0</v>
      </c>
      <c r="E16" s="373"/>
      <c r="F16" s="334"/>
      <c r="H16" s="374"/>
      <c r="K16" s="343"/>
    </row>
    <row r="17" spans="1:8" ht="15">
      <c r="A17" s="344" t="s">
        <v>215</v>
      </c>
      <c r="B17" s="345"/>
      <c r="C17" s="346"/>
      <c r="D17" s="366">
        <f>D18</f>
        <v>158.2416</v>
      </c>
      <c r="E17" s="359">
        <f>E18</f>
        <v>0.198</v>
      </c>
      <c r="F17" s="334"/>
      <c r="H17" s="343"/>
    </row>
    <row r="18" spans="1:8" ht="15.75" customHeight="1">
      <c r="A18" s="378" t="s">
        <v>141</v>
      </c>
      <c r="B18" s="379" t="s">
        <v>68</v>
      </c>
      <c r="C18" s="341" t="s">
        <v>115</v>
      </c>
      <c r="D18" s="353">
        <f>E18*12*66.6</f>
        <v>158.2416</v>
      </c>
      <c r="E18" s="354">
        <v>0.198</v>
      </c>
      <c r="F18" s="334"/>
      <c r="H18" s="343"/>
    </row>
    <row r="19" spans="1:8" ht="15">
      <c r="A19" s="344" t="s">
        <v>156</v>
      </c>
      <c r="B19" s="380"/>
      <c r="C19" s="380"/>
      <c r="D19" s="358">
        <f>D20</f>
        <v>17.5824</v>
      </c>
      <c r="E19" s="359">
        <f>E20</f>
        <v>0.022000000000000002</v>
      </c>
      <c r="F19" s="334"/>
      <c r="H19" s="343"/>
    </row>
    <row r="20" spans="1:8" ht="45">
      <c r="A20" s="351" t="s">
        <v>135</v>
      </c>
      <c r="B20" s="356" t="s">
        <v>33</v>
      </c>
      <c r="C20" s="341" t="s">
        <v>115</v>
      </c>
      <c r="D20" s="353">
        <f>E20*12*66.6</f>
        <v>17.5824</v>
      </c>
      <c r="E20" s="354">
        <v>0.022000000000000002</v>
      </c>
      <c r="F20" s="349"/>
      <c r="H20" s="343"/>
    </row>
    <row r="21" spans="1:8" ht="15">
      <c r="A21" s="381"/>
      <c r="B21" s="382" t="s">
        <v>120</v>
      </c>
      <c r="C21" s="382"/>
      <c r="D21" s="383">
        <v>1923.68</v>
      </c>
      <c r="E21" s="384">
        <f>E7+E10+E13+E17+E19</f>
        <v>2.3979999999999997</v>
      </c>
      <c r="F21" s="385"/>
      <c r="H21" s="343"/>
    </row>
    <row r="22" spans="1:6" ht="15">
      <c r="A22" s="386"/>
      <c r="B22" s="387"/>
      <c r="C22" s="388"/>
      <c r="D22" s="389"/>
      <c r="E22" s="390"/>
      <c r="F22" s="349">
        <f>'[13]пр.Энтузиастов 44В'!AE41</f>
        <v>98.2651329036515</v>
      </c>
    </row>
    <row r="23" spans="1:6" ht="106.5" customHeight="1">
      <c r="A23" s="391" t="s">
        <v>3</v>
      </c>
      <c r="B23" s="391" t="s">
        <v>121</v>
      </c>
      <c r="C23" s="391" t="s">
        <v>37</v>
      </c>
      <c r="D23" s="391" t="s">
        <v>38</v>
      </c>
      <c r="E23" s="391" t="s">
        <v>39</v>
      </c>
      <c r="F23" s="391" t="s">
        <v>40</v>
      </c>
    </row>
    <row r="24" spans="1:6" ht="15" customHeight="1">
      <c r="A24" s="391">
        <v>1</v>
      </c>
      <c r="B24" s="341" t="s">
        <v>41</v>
      </c>
      <c r="C24" s="391" t="s">
        <v>311</v>
      </c>
      <c r="D24" s="391">
        <v>1758.24</v>
      </c>
      <c r="E24" s="392">
        <f>D24/12/D2</f>
        <v>2.2</v>
      </c>
      <c r="F24" s="393">
        <v>2</v>
      </c>
    </row>
    <row r="25" spans="1:6" ht="15">
      <c r="A25" s="391"/>
      <c r="B25" s="394" t="s">
        <v>43</v>
      </c>
      <c r="C25" s="395"/>
      <c r="D25" s="396">
        <f>D24</f>
        <v>1758.24</v>
      </c>
      <c r="E25" s="397">
        <f>E24</f>
        <v>2.2</v>
      </c>
      <c r="F25" s="398">
        <v>2</v>
      </c>
    </row>
    <row r="26" spans="1:6" ht="11.25" customHeight="1">
      <c r="A26" s="386"/>
      <c r="B26" s="387"/>
      <c r="C26" s="399"/>
      <c r="D26" s="399"/>
      <c r="E26" s="399"/>
      <c r="F26" s="399"/>
    </row>
    <row r="27" spans="1:6" ht="33" customHeight="1">
      <c r="A27" s="386"/>
      <c r="B27" s="387" t="s">
        <v>125</v>
      </c>
      <c r="C27" s="400">
        <f>D21+D25</f>
        <v>3681.92</v>
      </c>
      <c r="D27" s="400"/>
      <c r="E27" s="400"/>
      <c r="F27" s="399"/>
    </row>
    <row r="28" spans="1:6" ht="15" customHeight="1">
      <c r="A28" s="386"/>
      <c r="B28" s="387" t="s">
        <v>126</v>
      </c>
      <c r="C28" s="401">
        <f>E21+E25</f>
        <v>4.598</v>
      </c>
      <c r="D28" s="399"/>
      <c r="E28" s="399"/>
      <c r="F28" s="399"/>
    </row>
    <row r="29" spans="1:6" ht="15">
      <c r="A29" s="334"/>
      <c r="B29" s="334"/>
      <c r="C29" s="334"/>
      <c r="D29" s="334"/>
      <c r="E29" s="334"/>
      <c r="F29" s="334"/>
    </row>
    <row r="30" spans="1:6" ht="36" customHeight="1">
      <c r="A30" s="333" t="s">
        <v>217</v>
      </c>
      <c r="B30" s="333"/>
      <c r="C30" s="333"/>
      <c r="D30" s="333"/>
      <c r="E30" s="333"/>
      <c r="F30" s="333"/>
    </row>
    <row r="31" spans="1:6" ht="21" customHeight="1">
      <c r="A31" s="336"/>
      <c r="B31" s="336"/>
      <c r="C31" s="336"/>
      <c r="D31" s="334"/>
      <c r="E31" s="334"/>
      <c r="F31" s="334"/>
    </row>
    <row r="32" spans="1:6" ht="74.25" customHeight="1">
      <c r="A32" s="341"/>
      <c r="B32" s="342" t="s">
        <v>4</v>
      </c>
      <c r="C32" s="342" t="s">
        <v>45</v>
      </c>
      <c r="D32" s="342" t="s">
        <v>6</v>
      </c>
      <c r="E32" s="342" t="s">
        <v>93</v>
      </c>
      <c r="F32" s="334"/>
    </row>
    <row r="33" spans="1:6" ht="15">
      <c r="A33" s="402" t="s">
        <v>47</v>
      </c>
      <c r="B33" s="403"/>
      <c r="C33" s="404"/>
      <c r="D33" s="405"/>
      <c r="E33" s="406"/>
      <c r="F33" s="334"/>
    </row>
    <row r="34" spans="1:6" ht="30.75" customHeight="1">
      <c r="A34" s="351">
        <v>1</v>
      </c>
      <c r="B34" s="407" t="s">
        <v>51</v>
      </c>
      <c r="C34" s="407" t="s">
        <v>90</v>
      </c>
      <c r="D34" s="408">
        <f>E34*12*66.6</f>
        <v>7.991999999999999</v>
      </c>
      <c r="E34" s="341">
        <v>0.01</v>
      </c>
      <c r="F34" s="334"/>
    </row>
    <row r="35" spans="1:6" ht="35.25" customHeight="1">
      <c r="A35" s="402" t="s">
        <v>53</v>
      </c>
      <c r="B35" s="409"/>
      <c r="C35" s="410"/>
      <c r="D35" s="411"/>
      <c r="E35" s="348"/>
      <c r="F35" s="334"/>
    </row>
    <row r="36" spans="1:6" ht="23.25" customHeight="1">
      <c r="A36" s="351">
        <v>2</v>
      </c>
      <c r="B36" s="412" t="s">
        <v>17</v>
      </c>
      <c r="C36" s="341" t="s">
        <v>90</v>
      </c>
      <c r="D36" s="408">
        <f>E36*12*66.6</f>
        <v>47.95199999999999</v>
      </c>
      <c r="E36" s="413">
        <v>0.06</v>
      </c>
      <c r="F36" s="334"/>
    </row>
    <row r="37" spans="1:6" ht="15">
      <c r="A37" s="341"/>
      <c r="B37" s="414" t="s">
        <v>36</v>
      </c>
      <c r="C37" s="341"/>
      <c r="D37" s="406">
        <f>+D34+D36</f>
        <v>55.94399999999999</v>
      </c>
      <c r="E37" s="406">
        <f>+E34+E36</f>
        <v>0.06999999999999999</v>
      </c>
      <c r="F37" s="334"/>
    </row>
    <row r="38" spans="1:6" ht="15">
      <c r="A38" s="334"/>
      <c r="B38" s="334"/>
      <c r="C38" s="334"/>
      <c r="D38" s="334"/>
      <c r="E38" s="334"/>
      <c r="F38" s="334"/>
    </row>
    <row r="39" spans="1:6" s="343" customFormat="1" ht="29.25">
      <c r="A39" s="387"/>
      <c r="B39" s="74" t="s">
        <v>312</v>
      </c>
      <c r="C39" s="387">
        <v>3682</v>
      </c>
      <c r="D39" s="387"/>
      <c r="E39" s="387"/>
      <c r="F39" s="386"/>
    </row>
  </sheetData>
  <mergeCells count="16">
    <mergeCell ref="H15:H16"/>
    <mergeCell ref="A33:C33"/>
    <mergeCell ref="A35:C35"/>
    <mergeCell ref="A10:C10"/>
    <mergeCell ref="D15:D16"/>
    <mergeCell ref="A17:C17"/>
    <mergeCell ref="A19:C19"/>
    <mergeCell ref="A15:A16"/>
    <mergeCell ref="B15:B16"/>
    <mergeCell ref="C15:C16"/>
    <mergeCell ref="A30:F30"/>
    <mergeCell ref="E15:E16"/>
    <mergeCell ref="A1:E1"/>
    <mergeCell ref="A4:E4"/>
    <mergeCell ref="A7:C7"/>
    <mergeCell ref="A13:C13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="85" zoomScaleNormal="85" workbookViewId="0" topLeftCell="A1">
      <selection activeCell="G16" sqref="G16"/>
    </sheetView>
  </sheetViews>
  <sheetFormatPr defaultColWidth="9.00390625" defaultRowHeight="12.75"/>
  <cols>
    <col min="1" max="1" width="3.00390625" style="130" customWidth="1"/>
    <col min="2" max="2" width="49.00390625" style="130" customWidth="1"/>
    <col min="3" max="3" width="11.875" style="130" customWidth="1"/>
    <col min="4" max="4" width="11.75390625" style="130" customWidth="1"/>
    <col min="5" max="5" width="11.625" style="130" customWidth="1"/>
    <col min="6" max="6" width="9.125" style="130" customWidth="1"/>
    <col min="7" max="7" width="14.25390625" style="130" bestFit="1" customWidth="1"/>
    <col min="8" max="16384" width="9.125" style="130" customWidth="1"/>
  </cols>
  <sheetData>
    <row r="1" spans="1:6" ht="15.75">
      <c r="A1" s="303" t="s">
        <v>219</v>
      </c>
      <c r="B1" s="303"/>
      <c r="C1" s="303"/>
      <c r="D1" s="303"/>
      <c r="E1" s="303"/>
      <c r="F1" s="129"/>
    </row>
    <row r="2" spans="1:6" ht="17.25" customHeight="1">
      <c r="A2" s="129"/>
      <c r="B2" s="131" t="s">
        <v>220</v>
      </c>
      <c r="C2" s="132"/>
      <c r="D2" s="271">
        <v>69.5</v>
      </c>
      <c r="E2" s="133" t="s">
        <v>82</v>
      </c>
      <c r="F2" s="129"/>
    </row>
    <row r="3" spans="1:6" ht="12.75">
      <c r="A3" s="129"/>
      <c r="B3" s="134"/>
      <c r="C3" s="129"/>
      <c r="D3" s="129"/>
      <c r="E3" s="129"/>
      <c r="F3" s="129"/>
    </row>
    <row r="4" spans="1:6" ht="24.75" customHeight="1">
      <c r="A4" s="261" t="s">
        <v>62</v>
      </c>
      <c r="B4" s="261"/>
      <c r="C4" s="261"/>
      <c r="D4" s="261"/>
      <c r="E4" s="261"/>
      <c r="F4" s="129"/>
    </row>
    <row r="5" spans="1:6" ht="12.75">
      <c r="A5" s="135"/>
      <c r="B5" s="135"/>
      <c r="C5" s="135"/>
      <c r="D5" s="135"/>
      <c r="E5" s="135"/>
      <c r="F5" s="129"/>
    </row>
    <row r="6" spans="1:6" ht="51" customHeight="1">
      <c r="A6" s="136"/>
      <c r="B6" s="137" t="s">
        <v>4</v>
      </c>
      <c r="C6" s="137" t="s">
        <v>5</v>
      </c>
      <c r="D6" s="137" t="s">
        <v>6</v>
      </c>
      <c r="E6" s="137" t="s">
        <v>93</v>
      </c>
      <c r="F6" s="129"/>
    </row>
    <row r="7" spans="1:7" ht="12.75">
      <c r="A7" s="296" t="s">
        <v>129</v>
      </c>
      <c r="B7" s="297"/>
      <c r="C7" s="298"/>
      <c r="D7" s="267">
        <f>D8+D9</f>
        <v>440.3520000000001</v>
      </c>
      <c r="E7" s="267">
        <f>E8+E9</f>
        <v>0.528</v>
      </c>
      <c r="F7" s="138" t="e">
        <f>E8+E9+#REF!</f>
        <v>#REF!</v>
      </c>
      <c r="G7" s="139"/>
    </row>
    <row r="8" spans="1:7" ht="18" customHeight="1">
      <c r="A8" s="140">
        <v>1</v>
      </c>
      <c r="B8" s="136" t="s">
        <v>26</v>
      </c>
      <c r="C8" s="141" t="s">
        <v>101</v>
      </c>
      <c r="D8" s="144">
        <f>E8*12*$D$2</f>
        <v>403.65600000000006</v>
      </c>
      <c r="E8" s="144">
        <v>0.48400000000000004</v>
      </c>
      <c r="F8" s="142"/>
      <c r="G8" s="139"/>
    </row>
    <row r="9" spans="1:7" ht="42.75" customHeight="1">
      <c r="A9" s="140">
        <v>2</v>
      </c>
      <c r="B9" s="143" t="s">
        <v>28</v>
      </c>
      <c r="C9" s="143" t="s">
        <v>103</v>
      </c>
      <c r="D9" s="144">
        <f>E9*12*$D$2</f>
        <v>36.696000000000005</v>
      </c>
      <c r="E9" s="144">
        <v>0.044000000000000004</v>
      </c>
      <c r="F9" s="142"/>
      <c r="G9" s="139"/>
    </row>
    <row r="10" spans="1:7" ht="12.75">
      <c r="A10" s="296" t="s">
        <v>77</v>
      </c>
      <c r="B10" s="297"/>
      <c r="C10" s="298"/>
      <c r="D10" s="267">
        <f>D11+D12</f>
        <v>73.392</v>
      </c>
      <c r="E10" s="267">
        <v>0.09</v>
      </c>
      <c r="F10" s="142"/>
      <c r="G10" s="139"/>
    </row>
    <row r="11" spans="1:7" ht="12.75">
      <c r="A11" s="140" t="s">
        <v>74</v>
      </c>
      <c r="B11" s="177" t="s">
        <v>21</v>
      </c>
      <c r="C11" s="143" t="s">
        <v>13</v>
      </c>
      <c r="D11" s="144">
        <f>E11*12*$D$2</f>
        <v>46.7874</v>
      </c>
      <c r="E11" s="144">
        <v>0.056100000000000004</v>
      </c>
      <c r="F11" s="178" t="e">
        <f>D11+#REF!+#REF!+D12</f>
        <v>#REF!</v>
      </c>
      <c r="G11" s="179"/>
    </row>
    <row r="12" spans="1:6" ht="43.5" customHeight="1">
      <c r="A12" s="140" t="s">
        <v>130</v>
      </c>
      <c r="B12" s="143" t="s">
        <v>212</v>
      </c>
      <c r="C12" s="143" t="s">
        <v>13</v>
      </c>
      <c r="D12" s="144">
        <f>E12*12*$D$2</f>
        <v>26.6046</v>
      </c>
      <c r="E12" s="144">
        <v>0.031900000000000005</v>
      </c>
      <c r="F12" s="145"/>
    </row>
    <row r="13" spans="1:6" ht="12.75">
      <c r="A13" s="296" t="s">
        <v>132</v>
      </c>
      <c r="B13" s="297"/>
      <c r="C13" s="298"/>
      <c r="D13" s="267">
        <f>D14+D15+D16</f>
        <v>1449.492</v>
      </c>
      <c r="E13" s="267">
        <f>E14+E15+E16</f>
        <v>1.738</v>
      </c>
      <c r="F13" s="129"/>
    </row>
    <row r="14" spans="1:6" ht="53.25" customHeight="1">
      <c r="A14" s="140" t="s">
        <v>131</v>
      </c>
      <c r="B14" s="143" t="s">
        <v>88</v>
      </c>
      <c r="C14" s="143" t="s">
        <v>13</v>
      </c>
      <c r="D14" s="144">
        <f>E14*12*$D$2</f>
        <v>155.95800000000003</v>
      </c>
      <c r="E14" s="144">
        <v>0.18700000000000003</v>
      </c>
      <c r="F14" s="129"/>
    </row>
    <row r="15" spans="1:6" ht="12.75">
      <c r="A15" s="307" t="s">
        <v>133</v>
      </c>
      <c r="B15" s="301" t="s">
        <v>218</v>
      </c>
      <c r="C15" s="301" t="s">
        <v>112</v>
      </c>
      <c r="D15" s="294">
        <f>E15*12*$D$2</f>
        <v>1293.5339999999999</v>
      </c>
      <c r="E15" s="294">
        <v>1.551</v>
      </c>
      <c r="F15" s="129"/>
    </row>
    <row r="16" spans="1:6" ht="133.5" customHeight="1">
      <c r="A16" s="308"/>
      <c r="B16" s="302"/>
      <c r="C16" s="302"/>
      <c r="D16" s="295"/>
      <c r="E16" s="295"/>
      <c r="F16" s="129"/>
    </row>
    <row r="17" spans="1:6" ht="12.75">
      <c r="A17" s="296" t="s">
        <v>215</v>
      </c>
      <c r="B17" s="297"/>
      <c r="C17" s="298"/>
      <c r="D17" s="267">
        <f>D18</f>
        <v>242.28534000000005</v>
      </c>
      <c r="E17" s="267">
        <v>0.26</v>
      </c>
      <c r="F17" s="129"/>
    </row>
    <row r="18" spans="1:6" ht="15.75" customHeight="1">
      <c r="A18" s="180" t="s">
        <v>141</v>
      </c>
      <c r="B18" s="147" t="s">
        <v>68</v>
      </c>
      <c r="C18" s="136" t="s">
        <v>115</v>
      </c>
      <c r="D18" s="144">
        <f>E18*12*$D$2</f>
        <v>242.28534000000005</v>
      </c>
      <c r="E18" s="144">
        <v>0.29051000000000005</v>
      </c>
      <c r="F18" s="129"/>
    </row>
    <row r="19" spans="1:6" ht="12.75">
      <c r="A19" s="296" t="s">
        <v>156</v>
      </c>
      <c r="B19" s="306"/>
      <c r="C19" s="306"/>
      <c r="D19" s="267">
        <f>D20</f>
        <v>18.348000000000003</v>
      </c>
      <c r="E19" s="267">
        <v>0.02</v>
      </c>
      <c r="F19" s="129"/>
    </row>
    <row r="20" spans="1:6" ht="38.25">
      <c r="A20" s="140" t="s">
        <v>135</v>
      </c>
      <c r="B20" s="143" t="s">
        <v>33</v>
      </c>
      <c r="C20" s="136" t="s">
        <v>115</v>
      </c>
      <c r="D20" s="144">
        <f>E20*12*$D$2</f>
        <v>18.348000000000003</v>
      </c>
      <c r="E20" s="144">
        <v>0.022000000000000002</v>
      </c>
      <c r="F20" s="138"/>
    </row>
    <row r="21" spans="1:6" ht="12.75">
      <c r="A21" s="148"/>
      <c r="B21" s="149" t="s">
        <v>120</v>
      </c>
      <c r="C21" s="149"/>
      <c r="D21" s="268">
        <f>D7+D10+D13+D17+D19</f>
        <v>2223.86934</v>
      </c>
      <c r="E21" s="267">
        <f>E7+E10+E13+E17+E19</f>
        <v>2.6359999999999997</v>
      </c>
      <c r="F21" s="150"/>
    </row>
    <row r="22" spans="1:7" ht="15">
      <c r="A22" s="151"/>
      <c r="B22" s="152"/>
      <c r="C22" s="153"/>
      <c r="D22" s="154"/>
      <c r="E22" s="155"/>
      <c r="F22" s="138">
        <f>'[12]пр.Энтузиастов 44В'!AE41</f>
        <v>98.2651329036515</v>
      </c>
      <c r="G22" s="272"/>
    </row>
    <row r="23" spans="1:6" ht="12.75">
      <c r="A23" s="156"/>
      <c r="B23" s="156"/>
      <c r="C23" s="156"/>
      <c r="D23" s="156"/>
      <c r="E23" s="156"/>
      <c r="F23" s="157"/>
    </row>
    <row r="24" spans="1:6" ht="57" customHeight="1">
      <c r="A24" s="158" t="s">
        <v>3</v>
      </c>
      <c r="B24" s="158" t="s">
        <v>121</v>
      </c>
      <c r="C24" s="158" t="s">
        <v>37</v>
      </c>
      <c r="D24" s="158" t="s">
        <v>38</v>
      </c>
      <c r="E24" s="158" t="s">
        <v>39</v>
      </c>
      <c r="F24" s="158" t="s">
        <v>40</v>
      </c>
    </row>
    <row r="25" spans="1:6" ht="19.5" customHeight="1">
      <c r="A25" s="159">
        <v>1</v>
      </c>
      <c r="B25" s="136" t="s">
        <v>41</v>
      </c>
      <c r="C25" s="159">
        <v>3.3</v>
      </c>
      <c r="D25" s="159">
        <v>1834.8</v>
      </c>
      <c r="E25" s="160">
        <f>D25/12/69.5</f>
        <v>2.2</v>
      </c>
      <c r="F25" s="161">
        <v>2</v>
      </c>
    </row>
    <row r="26" spans="1:6" ht="12.75">
      <c r="A26" s="159"/>
      <c r="B26" s="162" t="s">
        <v>43</v>
      </c>
      <c r="C26" s="163"/>
      <c r="D26" s="273">
        <f>D25-0.2</f>
        <v>1834.6</v>
      </c>
      <c r="E26" s="165">
        <f>E25</f>
        <v>2.2</v>
      </c>
      <c r="F26" s="166"/>
    </row>
    <row r="27" spans="1:6" ht="12.75">
      <c r="A27" s="151"/>
      <c r="B27" s="152"/>
      <c r="C27" s="167"/>
      <c r="D27" s="167"/>
      <c r="E27" s="167"/>
      <c r="F27" s="167"/>
    </row>
    <row r="28" spans="1:6" ht="24.75" customHeight="1">
      <c r="A28" s="151"/>
      <c r="B28" s="152" t="s">
        <v>125</v>
      </c>
      <c r="C28" s="168">
        <f>D21+D26</f>
        <v>4058.46934</v>
      </c>
      <c r="D28" s="168"/>
      <c r="E28" s="168"/>
      <c r="F28" s="167"/>
    </row>
    <row r="29" spans="1:6" ht="15" customHeight="1">
      <c r="A29" s="151"/>
      <c r="B29" s="152" t="s">
        <v>216</v>
      </c>
      <c r="C29" s="169">
        <f>E21+E26</f>
        <v>4.836</v>
      </c>
      <c r="D29" s="167"/>
      <c r="E29" s="167"/>
      <c r="F29" s="167"/>
    </row>
    <row r="30" spans="1:6" ht="12.75">
      <c r="A30" s="129"/>
      <c r="B30" s="129"/>
      <c r="C30" s="129"/>
      <c r="D30" s="129"/>
      <c r="E30" s="129"/>
      <c r="F30" s="129"/>
    </row>
    <row r="31" spans="1:6" ht="24.75" customHeight="1">
      <c r="A31" s="261" t="s">
        <v>217</v>
      </c>
      <c r="B31" s="261"/>
      <c r="C31" s="261"/>
      <c r="D31" s="261"/>
      <c r="E31" s="261"/>
      <c r="F31" s="261"/>
    </row>
    <row r="32" spans="1:6" ht="7.5" customHeight="1">
      <c r="A32" s="135"/>
      <c r="B32" s="135"/>
      <c r="C32" s="135"/>
      <c r="D32" s="129"/>
      <c r="E32" s="129"/>
      <c r="F32" s="129"/>
    </row>
    <row r="33" spans="1:6" ht="66" customHeight="1">
      <c r="A33" s="136"/>
      <c r="B33" s="137" t="s">
        <v>4</v>
      </c>
      <c r="C33" s="137" t="s">
        <v>45</v>
      </c>
      <c r="D33" s="137" t="s">
        <v>6</v>
      </c>
      <c r="E33" s="137" t="s">
        <v>93</v>
      </c>
      <c r="F33" s="129"/>
    </row>
    <row r="34" spans="1:6" ht="12.75">
      <c r="A34" s="262" t="s">
        <v>47</v>
      </c>
      <c r="B34" s="263"/>
      <c r="C34" s="264"/>
      <c r="D34" s="170">
        <f>D35</f>
        <v>8.34</v>
      </c>
      <c r="E34" s="171">
        <f>E35</f>
        <v>0.01</v>
      </c>
      <c r="F34" s="129"/>
    </row>
    <row r="35" spans="1:6" ht="30.75" customHeight="1">
      <c r="A35" s="140" t="s">
        <v>50</v>
      </c>
      <c r="B35" s="172" t="s">
        <v>51</v>
      </c>
      <c r="C35" s="172" t="s">
        <v>90</v>
      </c>
      <c r="D35" s="136">
        <f>E35*12*69.5</f>
        <v>8.34</v>
      </c>
      <c r="E35" s="136">
        <v>0.01</v>
      </c>
      <c r="F35" s="129"/>
    </row>
    <row r="36" spans="1:6" ht="12.75">
      <c r="A36" s="265" t="s">
        <v>53</v>
      </c>
      <c r="B36" s="256"/>
      <c r="C36" s="257"/>
      <c r="D36" s="173">
        <f>D37+D38</f>
        <v>66.72</v>
      </c>
      <c r="E36" s="174">
        <f>E37+E38</f>
        <v>0.08</v>
      </c>
      <c r="F36" s="129"/>
    </row>
    <row r="37" spans="1:6" ht="31.5" customHeight="1">
      <c r="A37" s="140" t="s">
        <v>54</v>
      </c>
      <c r="B37" s="172" t="s">
        <v>55</v>
      </c>
      <c r="C37" s="172" t="s">
        <v>127</v>
      </c>
      <c r="D37" s="136">
        <f>E37*12*69.5</f>
        <v>16.68</v>
      </c>
      <c r="E37" s="175">
        <v>0.02</v>
      </c>
      <c r="F37" s="129"/>
    </row>
    <row r="38" spans="1:6" ht="23.25" customHeight="1">
      <c r="A38" s="140" t="s">
        <v>59</v>
      </c>
      <c r="B38" s="181" t="s">
        <v>17</v>
      </c>
      <c r="C38" s="136" t="s">
        <v>90</v>
      </c>
      <c r="D38" s="136">
        <f>E38*12*69.5</f>
        <v>50.04</v>
      </c>
      <c r="E38" s="175">
        <v>0.06</v>
      </c>
      <c r="F38" s="129"/>
    </row>
    <row r="39" spans="1:6" ht="12.75">
      <c r="A39" s="136"/>
      <c r="B39" s="176" t="s">
        <v>36</v>
      </c>
      <c r="C39" s="136"/>
      <c r="D39" s="171">
        <f>+D35+D37+D38</f>
        <v>75.06</v>
      </c>
      <c r="E39" s="171">
        <f>+E35+E37+E38</f>
        <v>0.09</v>
      </c>
      <c r="F39" s="129"/>
    </row>
    <row r="40" spans="1:6" ht="12.75">
      <c r="A40" s="129"/>
      <c r="B40" s="129"/>
      <c r="C40" s="129"/>
      <c r="D40" s="129"/>
      <c r="E40" s="129"/>
      <c r="F40" s="129"/>
    </row>
    <row r="41" spans="2:3" ht="25.5">
      <c r="B41" s="152" t="s">
        <v>297</v>
      </c>
      <c r="C41" s="168">
        <v>4058.46934</v>
      </c>
    </row>
  </sheetData>
  <mergeCells count="15">
    <mergeCell ref="D15:D16"/>
    <mergeCell ref="A1:E1"/>
    <mergeCell ref="A4:E4"/>
    <mergeCell ref="A7:C7"/>
    <mergeCell ref="A13:C13"/>
    <mergeCell ref="E15:E16"/>
    <mergeCell ref="A34:C34"/>
    <mergeCell ref="A36:C36"/>
    <mergeCell ref="A10:C10"/>
    <mergeCell ref="A17:C17"/>
    <mergeCell ref="A19:C19"/>
    <mergeCell ref="A15:A16"/>
    <mergeCell ref="B15:B16"/>
    <mergeCell ref="C15:C16"/>
    <mergeCell ref="A31:F3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workbookViewId="0" topLeftCell="A55">
      <selection activeCell="G22" sqref="G22"/>
    </sheetView>
  </sheetViews>
  <sheetFormatPr defaultColWidth="9.00390625" defaultRowHeight="12.75"/>
  <cols>
    <col min="1" max="1" width="3.25390625" style="1" customWidth="1"/>
    <col min="2" max="2" width="43.75390625" style="1" customWidth="1"/>
    <col min="3" max="3" width="18.375" style="1" customWidth="1"/>
    <col min="4" max="4" width="9.625" style="1" bestFit="1" customWidth="1"/>
    <col min="5" max="5" width="9.25390625" style="1" bestFit="1" customWidth="1"/>
    <col min="6" max="6" width="10.625" style="1" customWidth="1"/>
    <col min="7" max="16384" width="9.125" style="1" customWidth="1"/>
  </cols>
  <sheetData>
    <row r="1" spans="1:6" ht="12.75">
      <c r="A1" s="19"/>
      <c r="C1" s="311"/>
      <c r="D1" s="311"/>
      <c r="E1" s="311"/>
      <c r="F1" s="311"/>
    </row>
    <row r="2" spans="1:6" ht="14.25">
      <c r="A2" s="19"/>
      <c r="B2" s="20" t="s">
        <v>0</v>
      </c>
      <c r="C2" s="20"/>
      <c r="D2" s="19"/>
      <c r="F2" s="21"/>
    </row>
    <row r="3" spans="1:6" ht="12.75">
      <c r="A3" s="19"/>
      <c r="D3" s="19"/>
      <c r="F3" s="21"/>
    </row>
    <row r="4" spans="1:6" ht="14.25">
      <c r="A4" s="19"/>
      <c r="B4" s="20" t="s">
        <v>1</v>
      </c>
      <c r="C4" s="22"/>
      <c r="D4" s="23">
        <v>2481.8</v>
      </c>
      <c r="E4" s="22" t="s">
        <v>2</v>
      </c>
      <c r="F4" s="21"/>
    </row>
    <row r="5" spans="1:6" ht="38.25" customHeight="1">
      <c r="A5" s="312" t="s">
        <v>62</v>
      </c>
      <c r="B5" s="312"/>
      <c r="C5" s="312"/>
      <c r="D5" s="312"/>
      <c r="F5" s="21"/>
    </row>
    <row r="6" spans="1:6" ht="56.25">
      <c r="A6" s="14" t="s">
        <v>3</v>
      </c>
      <c r="B6" s="24" t="s">
        <v>4</v>
      </c>
      <c r="C6" s="9" t="s">
        <v>5</v>
      </c>
      <c r="D6" s="15" t="s">
        <v>6</v>
      </c>
      <c r="E6" s="14" t="s">
        <v>7</v>
      </c>
      <c r="F6" s="21"/>
    </row>
    <row r="7" spans="1:6" ht="12.75">
      <c r="A7" s="15"/>
      <c r="B7" s="12" t="s">
        <v>8</v>
      </c>
      <c r="C7" s="25"/>
      <c r="D7" s="26">
        <f>SUM(D8:D11)</f>
        <v>23914.624800000005</v>
      </c>
      <c r="E7" s="26">
        <f>SUM(E8:E11)</f>
        <v>0.803</v>
      </c>
      <c r="F7" s="27"/>
    </row>
    <row r="8" spans="1:6" ht="25.5">
      <c r="A8" s="15">
        <v>1</v>
      </c>
      <c r="B8" s="4" t="s">
        <v>9</v>
      </c>
      <c r="C8" s="18" t="s">
        <v>10</v>
      </c>
      <c r="D8" s="28">
        <f>$D$4*E8*12</f>
        <v>11465.916000000001</v>
      </c>
      <c r="E8" s="28">
        <v>0.385</v>
      </c>
      <c r="F8" s="27"/>
    </row>
    <row r="9" spans="1:6" ht="25.5">
      <c r="A9" s="15">
        <v>2</v>
      </c>
      <c r="B9" s="4" t="s">
        <v>63</v>
      </c>
      <c r="C9" s="18" t="s">
        <v>11</v>
      </c>
      <c r="D9" s="28">
        <f>$D$4*E9*12</f>
        <v>11465.916000000001</v>
      </c>
      <c r="E9" s="28">
        <v>0.385</v>
      </c>
      <c r="F9" s="27"/>
    </row>
    <row r="10" spans="1:6" ht="26.25" customHeight="1">
      <c r="A10" s="15">
        <v>3</v>
      </c>
      <c r="B10" s="4" t="s">
        <v>64</v>
      </c>
      <c r="C10" s="18" t="s">
        <v>13</v>
      </c>
      <c r="D10" s="28">
        <f>$D$4*E10*12</f>
        <v>327.59760000000006</v>
      </c>
      <c r="E10" s="28">
        <v>0.011000000000000001</v>
      </c>
      <c r="F10" s="27"/>
    </row>
    <row r="11" spans="1:6" ht="12.75">
      <c r="A11" s="15">
        <v>4</v>
      </c>
      <c r="B11" s="4" t="s">
        <v>65</v>
      </c>
      <c r="C11" s="18" t="s">
        <v>13</v>
      </c>
      <c r="D11" s="28">
        <f>$D$4*E11*12</f>
        <v>655.1952000000001</v>
      </c>
      <c r="E11" s="28">
        <v>0.022000000000000002</v>
      </c>
      <c r="F11" s="27"/>
    </row>
    <row r="12" spans="1:6" ht="25.5">
      <c r="A12" s="15"/>
      <c r="B12" s="12" t="s">
        <v>14</v>
      </c>
      <c r="C12" s="25"/>
      <c r="D12" s="26">
        <f>SUM(D13:D20)</f>
        <v>67157.508</v>
      </c>
      <c r="E12" s="26">
        <f>SUM(E13:E20)</f>
        <v>2.2550000000000003</v>
      </c>
      <c r="F12" s="27"/>
    </row>
    <row r="13" spans="1:6" ht="12.75">
      <c r="A13" s="15">
        <v>5</v>
      </c>
      <c r="B13" s="4" t="s">
        <v>57</v>
      </c>
      <c r="C13" s="18" t="s">
        <v>10</v>
      </c>
      <c r="D13" s="28">
        <f aca="true" t="shared" si="0" ref="D13:D20">E13*$D$4*12</f>
        <v>4913.964000000001</v>
      </c>
      <c r="E13" s="28">
        <v>0.165</v>
      </c>
      <c r="F13" s="27"/>
    </row>
    <row r="14" spans="1:6" ht="12.75">
      <c r="A14" s="15">
        <v>6</v>
      </c>
      <c r="B14" s="4" t="s">
        <v>81</v>
      </c>
      <c r="C14" s="18" t="s">
        <v>10</v>
      </c>
      <c r="D14" s="28">
        <f t="shared" si="0"/>
        <v>1637.9880000000003</v>
      </c>
      <c r="E14" s="28">
        <v>0.055</v>
      </c>
      <c r="F14" s="27"/>
    </row>
    <row r="15" spans="1:6" ht="25.5">
      <c r="A15" s="15">
        <v>7</v>
      </c>
      <c r="B15" s="4" t="s">
        <v>66</v>
      </c>
      <c r="C15" s="18" t="s">
        <v>15</v>
      </c>
      <c r="D15" s="28">
        <f t="shared" si="0"/>
        <v>6224.354400000001</v>
      </c>
      <c r="E15" s="28">
        <v>0.20900000000000002</v>
      </c>
      <c r="F15" s="27"/>
    </row>
    <row r="16" spans="1:6" ht="51">
      <c r="A16" s="15">
        <v>8</v>
      </c>
      <c r="B16" s="4" t="s">
        <v>79</v>
      </c>
      <c r="C16" s="18" t="s">
        <v>16</v>
      </c>
      <c r="D16" s="28">
        <f t="shared" si="0"/>
        <v>38984.1144</v>
      </c>
      <c r="E16" s="28">
        <v>1.309</v>
      </c>
      <c r="F16" s="27"/>
    </row>
    <row r="17" spans="1:6" ht="12.75">
      <c r="A17" s="15">
        <v>9</v>
      </c>
      <c r="B17" s="4" t="s">
        <v>67</v>
      </c>
      <c r="C17" s="18" t="s">
        <v>12</v>
      </c>
      <c r="D17" s="28">
        <f t="shared" si="0"/>
        <v>327.59760000000006</v>
      </c>
      <c r="E17" s="28">
        <v>0.011000000000000001</v>
      </c>
      <c r="F17" s="27"/>
    </row>
    <row r="18" spans="1:6" ht="12.75">
      <c r="A18" s="15">
        <v>10</v>
      </c>
      <c r="B18" s="4" t="s">
        <v>17</v>
      </c>
      <c r="C18" s="18" t="s">
        <v>18</v>
      </c>
      <c r="D18" s="28">
        <f t="shared" si="0"/>
        <v>11793.513600000002</v>
      </c>
      <c r="E18" s="28">
        <v>0.396</v>
      </c>
      <c r="F18" s="27"/>
    </row>
    <row r="19" spans="1:6" ht="12.75">
      <c r="A19" s="15">
        <v>11</v>
      </c>
      <c r="B19" s="4" t="s">
        <v>19</v>
      </c>
      <c r="C19" s="18" t="s">
        <v>12</v>
      </c>
      <c r="D19" s="28">
        <f t="shared" si="0"/>
        <v>2948.3784000000005</v>
      </c>
      <c r="E19" s="28">
        <v>0.099</v>
      </c>
      <c r="F19" s="27"/>
    </row>
    <row r="20" spans="1:6" ht="12.75">
      <c r="A20" s="15">
        <v>12</v>
      </c>
      <c r="B20" s="4" t="s">
        <v>80</v>
      </c>
      <c r="C20" s="18" t="s">
        <v>13</v>
      </c>
      <c r="D20" s="28">
        <f t="shared" si="0"/>
        <v>327.59760000000006</v>
      </c>
      <c r="E20" s="28">
        <v>0.011000000000000001</v>
      </c>
      <c r="F20" s="27"/>
    </row>
    <row r="21" spans="1:6" ht="25.5">
      <c r="A21" s="15"/>
      <c r="B21" s="12" t="s">
        <v>20</v>
      </c>
      <c r="C21" s="25"/>
      <c r="D21" s="26">
        <f>SUM(D22:D25)</f>
        <v>35023.1616</v>
      </c>
      <c r="E21" s="26">
        <f>E22+E23+E24+E25</f>
        <v>1.176</v>
      </c>
      <c r="F21" s="27"/>
    </row>
    <row r="22" spans="1:6" ht="12.75">
      <c r="A22" s="15">
        <v>13</v>
      </c>
      <c r="B22" s="4" t="s">
        <v>21</v>
      </c>
      <c r="C22" s="18" t="s">
        <v>13</v>
      </c>
      <c r="D22" s="28">
        <f>E22*$D$4*12</f>
        <v>327.59760000000006</v>
      </c>
      <c r="E22" s="28">
        <v>0.011000000000000001</v>
      </c>
      <c r="F22" s="27"/>
    </row>
    <row r="23" spans="1:6" ht="25.5">
      <c r="A23" s="15">
        <v>14</v>
      </c>
      <c r="B23" s="4" t="s">
        <v>22</v>
      </c>
      <c r="C23" s="18" t="s">
        <v>13</v>
      </c>
      <c r="D23" s="28">
        <f>E23*$D$4*12</f>
        <v>3275.9760000000006</v>
      </c>
      <c r="E23" s="28">
        <v>0.11</v>
      </c>
      <c r="F23" s="27"/>
    </row>
    <row r="24" spans="1:6" ht="25.5">
      <c r="A24" s="15">
        <v>15</v>
      </c>
      <c r="B24" s="4" t="s">
        <v>23</v>
      </c>
      <c r="C24" s="18" t="s">
        <v>13</v>
      </c>
      <c r="D24" s="28">
        <f>E24*$D$4*12</f>
        <v>655.1952000000001</v>
      </c>
      <c r="E24" s="28">
        <v>0.022000000000000002</v>
      </c>
      <c r="F24" s="27"/>
    </row>
    <row r="25" spans="1:6" ht="78.75" customHeight="1">
      <c r="A25" s="15">
        <v>16</v>
      </c>
      <c r="B25" s="4" t="s">
        <v>24</v>
      </c>
      <c r="C25" s="18" t="s">
        <v>13</v>
      </c>
      <c r="D25" s="28">
        <f>E25*$D$4*12</f>
        <v>30764.3928</v>
      </c>
      <c r="E25" s="28">
        <f>1.023+0.01</f>
        <v>1.033</v>
      </c>
      <c r="F25" s="27"/>
    </row>
    <row r="26" spans="1:6" ht="12.75">
      <c r="A26" s="15"/>
      <c r="B26" s="12" t="s">
        <v>25</v>
      </c>
      <c r="C26" s="18"/>
      <c r="D26" s="26">
        <f>SUM(D27:D28)</f>
        <v>17303.109600000003</v>
      </c>
      <c r="E26" s="26">
        <f>E27+E28</f>
        <v>0.5810000000000001</v>
      </c>
      <c r="F26" s="27"/>
    </row>
    <row r="27" spans="1:6" ht="12.75">
      <c r="A27" s="15">
        <v>17</v>
      </c>
      <c r="B27" s="4" t="s">
        <v>26</v>
      </c>
      <c r="C27" s="18" t="s">
        <v>27</v>
      </c>
      <c r="D27" s="28">
        <f>E27*$D$4*12</f>
        <v>15694.903200000002</v>
      </c>
      <c r="E27" s="28">
        <f>0.517+0.01</f>
        <v>0.527</v>
      </c>
      <c r="F27" s="27"/>
    </row>
    <row r="28" spans="1:6" ht="25.5">
      <c r="A28" s="15">
        <v>18</v>
      </c>
      <c r="B28" s="4" t="s">
        <v>28</v>
      </c>
      <c r="C28" s="18" t="s">
        <v>29</v>
      </c>
      <c r="D28" s="28">
        <f>E28*$D$4*12</f>
        <v>1608.2064</v>
      </c>
      <c r="E28" s="28">
        <f>0.044+0.01</f>
        <v>0.054</v>
      </c>
      <c r="F28" s="27"/>
    </row>
    <row r="29" spans="1:6" ht="25.5">
      <c r="A29" s="15"/>
      <c r="B29" s="12" t="s">
        <v>30</v>
      </c>
      <c r="C29" s="18"/>
      <c r="D29" s="26">
        <f>SUM(D30:D31)</f>
        <v>46561.74470400001</v>
      </c>
      <c r="E29" s="26">
        <f>E30+E31</f>
        <v>1.5634400000000002</v>
      </c>
      <c r="F29" s="27"/>
    </row>
    <row r="30" spans="1:6" ht="63.75">
      <c r="A30" s="15">
        <v>19</v>
      </c>
      <c r="B30" s="4" t="s">
        <v>88</v>
      </c>
      <c r="C30" s="29" t="s">
        <v>13</v>
      </c>
      <c r="D30" s="28">
        <f>E30*$D$4*12</f>
        <v>6194.572800000001</v>
      </c>
      <c r="E30" s="28">
        <f>0.198+0.01</f>
        <v>0.20800000000000002</v>
      </c>
      <c r="F30" s="27"/>
    </row>
    <row r="31" spans="1:6" ht="89.25">
      <c r="A31" s="15">
        <v>20</v>
      </c>
      <c r="B31" s="4" t="s">
        <v>71</v>
      </c>
      <c r="C31" s="29" t="s">
        <v>72</v>
      </c>
      <c r="D31" s="28">
        <f>E31*$D$4*12</f>
        <v>40367.17190400001</v>
      </c>
      <c r="E31" s="28">
        <f>1.342+0.01+0.00344</f>
        <v>1.3554400000000002</v>
      </c>
      <c r="F31" s="27"/>
    </row>
    <row r="32" spans="1:6" ht="25.5">
      <c r="A32" s="15"/>
      <c r="B32" s="12" t="s">
        <v>69</v>
      </c>
      <c r="C32" s="29"/>
      <c r="D32" s="26">
        <f>D33</f>
        <v>6551.952000000001</v>
      </c>
      <c r="E32" s="26">
        <f>E33</f>
        <v>0.22</v>
      </c>
      <c r="F32" s="27"/>
    </row>
    <row r="33" spans="1:6" ht="12.75">
      <c r="A33" s="15">
        <v>21</v>
      </c>
      <c r="B33" s="4" t="s">
        <v>68</v>
      </c>
      <c r="C33" s="29" t="s">
        <v>31</v>
      </c>
      <c r="D33" s="28">
        <f>E33*$D$4*12</f>
        <v>6551.952000000001</v>
      </c>
      <c r="E33" s="28">
        <v>0.22</v>
      </c>
      <c r="F33" s="27"/>
    </row>
    <row r="34" spans="1:6" ht="12.75">
      <c r="A34" s="15"/>
      <c r="B34" s="12" t="s">
        <v>70</v>
      </c>
      <c r="C34" s="29"/>
      <c r="D34" s="26">
        <f>SUM(D35:D37)</f>
        <v>3603.5736000000006</v>
      </c>
      <c r="E34" s="26">
        <f>E35+E36+E37</f>
        <v>0.121</v>
      </c>
      <c r="F34" s="27"/>
    </row>
    <row r="35" spans="1:6" ht="12.75">
      <c r="A35" s="15">
        <v>22</v>
      </c>
      <c r="B35" s="17" t="s">
        <v>32</v>
      </c>
      <c r="C35" s="18" t="s">
        <v>10</v>
      </c>
      <c r="D35" s="28">
        <f>E35*$D$4*12</f>
        <v>1637.9880000000003</v>
      </c>
      <c r="E35" s="28">
        <v>0.055</v>
      </c>
      <c r="F35" s="27"/>
    </row>
    <row r="36" spans="1:6" ht="38.25">
      <c r="A36" s="15">
        <v>23</v>
      </c>
      <c r="B36" s="17" t="s">
        <v>33</v>
      </c>
      <c r="C36" s="18" t="s">
        <v>34</v>
      </c>
      <c r="D36" s="28">
        <f>E36*$D$4*12</f>
        <v>327.59760000000006</v>
      </c>
      <c r="E36" s="28">
        <v>0.011000000000000001</v>
      </c>
      <c r="F36" s="27"/>
    </row>
    <row r="37" spans="1:6" ht="12.75">
      <c r="A37" s="15">
        <v>25</v>
      </c>
      <c r="B37" s="4" t="s">
        <v>35</v>
      </c>
      <c r="C37" s="29" t="s">
        <v>13</v>
      </c>
      <c r="D37" s="28">
        <f>E37*$D$4*12</f>
        <v>1637.9880000000003</v>
      </c>
      <c r="E37" s="28">
        <v>0.055</v>
      </c>
      <c r="F37" s="27"/>
    </row>
    <row r="38" spans="1:6" ht="12.75">
      <c r="A38" s="11"/>
      <c r="B38" s="12" t="s">
        <v>36</v>
      </c>
      <c r="C38" s="25"/>
      <c r="D38" s="26">
        <f>D7+D12+D21+D26+D29+D32+D34</f>
        <v>200115.67430400001</v>
      </c>
      <c r="E38" s="26">
        <f>E7+E12+E21+E26+E29+E32+E34</f>
        <v>6.7194400000000005</v>
      </c>
      <c r="F38" s="21"/>
    </row>
    <row r="39" spans="1:6" ht="12.75">
      <c r="A39" s="19"/>
      <c r="D39" s="19"/>
      <c r="F39" s="21"/>
    </row>
    <row r="40" spans="1:6" ht="12.75">
      <c r="A40" s="19"/>
      <c r="D40" s="19"/>
      <c r="F40" s="21"/>
    </row>
    <row r="41" spans="1:6" ht="45">
      <c r="A41" s="14" t="s">
        <v>3</v>
      </c>
      <c r="B41" s="14" t="s">
        <v>61</v>
      </c>
      <c r="C41" s="14" t="s">
        <v>37</v>
      </c>
      <c r="D41" s="14" t="s">
        <v>38</v>
      </c>
      <c r="E41" s="14" t="s">
        <v>39</v>
      </c>
      <c r="F41" s="14" t="s">
        <v>40</v>
      </c>
    </row>
    <row r="42" spans="1:6" ht="12.75">
      <c r="A42" s="15">
        <v>1</v>
      </c>
      <c r="B42" s="4" t="s">
        <v>41</v>
      </c>
      <c r="C42" s="15" t="s">
        <v>42</v>
      </c>
      <c r="D42" s="11">
        <v>65519.52</v>
      </c>
      <c r="E42" s="11">
        <f>D42/D4/12</f>
        <v>2.1999999999999997</v>
      </c>
      <c r="F42" s="15">
        <v>2</v>
      </c>
    </row>
    <row r="43" spans="1:6" ht="12.75">
      <c r="A43" s="15"/>
      <c r="B43" s="12" t="s">
        <v>43</v>
      </c>
      <c r="C43" s="16"/>
      <c r="D43" s="13">
        <f>D42</f>
        <v>65519.52</v>
      </c>
      <c r="E43" s="13">
        <f>E42</f>
        <v>2.1999999999999997</v>
      </c>
      <c r="F43" s="16"/>
    </row>
    <row r="44" spans="1:6" ht="12.75">
      <c r="A44" s="19"/>
      <c r="D44" s="19"/>
      <c r="F44" s="21"/>
    </row>
    <row r="45" spans="2:3" ht="25.5">
      <c r="B45" s="30" t="s">
        <v>85</v>
      </c>
      <c r="C45" s="31">
        <f>D43+D38</f>
        <v>265635.194304</v>
      </c>
    </row>
    <row r="47" spans="2:3" ht="12.75">
      <c r="B47" s="33" t="s">
        <v>84</v>
      </c>
      <c r="C47" s="274">
        <f>E38+E43</f>
        <v>8.91944</v>
      </c>
    </row>
    <row r="48" spans="2:3" ht="12.75">
      <c r="B48" s="33"/>
      <c r="C48" s="34"/>
    </row>
    <row r="49" spans="1:6" ht="25.5" customHeight="1">
      <c r="A49" s="310" t="s">
        <v>44</v>
      </c>
      <c r="B49" s="310"/>
      <c r="C49" s="310"/>
      <c r="D49" s="310"/>
      <c r="E49" s="310"/>
      <c r="F49" s="310"/>
    </row>
    <row r="50" spans="1:6" ht="12.75">
      <c r="A50" s="3"/>
      <c r="B50" s="3"/>
      <c r="C50" s="3"/>
      <c r="D50" s="3"/>
      <c r="E50" s="2"/>
      <c r="F50" s="2"/>
    </row>
    <row r="51" spans="1:6" ht="38.25">
      <c r="A51" s="4"/>
      <c r="B51" s="5" t="s">
        <v>4</v>
      </c>
      <c r="C51" s="5" t="s">
        <v>45</v>
      </c>
      <c r="D51" s="5" t="s">
        <v>6</v>
      </c>
      <c r="E51" s="5" t="s">
        <v>46</v>
      </c>
      <c r="F51" s="2"/>
    </row>
    <row r="52" spans="1:6" ht="12.75">
      <c r="A52" s="309" t="s">
        <v>47</v>
      </c>
      <c r="B52" s="309"/>
      <c r="C52" s="309"/>
      <c r="D52" s="309"/>
      <c r="E52" s="309"/>
      <c r="F52" s="2"/>
    </row>
    <row r="53" spans="1:6" ht="25.5">
      <c r="A53" s="6" t="s">
        <v>48</v>
      </c>
      <c r="B53" s="7" t="s">
        <v>9</v>
      </c>
      <c r="C53" s="7" t="s">
        <v>49</v>
      </c>
      <c r="D53" s="8">
        <f>E53*$D$4*12</f>
        <v>297.81600000000003</v>
      </c>
      <c r="E53" s="9">
        <v>0.01</v>
      </c>
      <c r="F53" s="2"/>
    </row>
    <row r="54" spans="1:6" ht="25.5">
      <c r="A54" s="6" t="s">
        <v>50</v>
      </c>
      <c r="B54" s="7" t="s">
        <v>51</v>
      </c>
      <c r="C54" s="7" t="s">
        <v>52</v>
      </c>
      <c r="D54" s="8">
        <f>E54*$D$4*12</f>
        <v>297.81600000000003</v>
      </c>
      <c r="E54" s="9">
        <v>0.01</v>
      </c>
      <c r="F54" s="2"/>
    </row>
    <row r="55" spans="1:6" ht="12.75">
      <c r="A55" s="309" t="s">
        <v>53</v>
      </c>
      <c r="B55" s="309"/>
      <c r="C55" s="309"/>
      <c r="D55" s="309"/>
      <c r="E55" s="309"/>
      <c r="F55" s="2"/>
    </row>
    <row r="56" spans="1:6" ht="25.5">
      <c r="A56" s="6" t="s">
        <v>54</v>
      </c>
      <c r="B56" s="7" t="s">
        <v>55</v>
      </c>
      <c r="C56" s="7" t="s">
        <v>13</v>
      </c>
      <c r="D56" s="8">
        <f>E56*$D$4*12</f>
        <v>595.6320000000001</v>
      </c>
      <c r="E56" s="9">
        <v>0.02</v>
      </c>
      <c r="F56" s="2"/>
    </row>
    <row r="57" spans="1:6" ht="25.5">
      <c r="A57" s="6" t="s">
        <v>56</v>
      </c>
      <c r="B57" s="7" t="s">
        <v>57</v>
      </c>
      <c r="C57" s="7" t="s">
        <v>58</v>
      </c>
      <c r="D57" s="8">
        <f>E57*$D$4*12</f>
        <v>6551.952000000001</v>
      </c>
      <c r="E57" s="9">
        <v>0.22</v>
      </c>
      <c r="F57" s="2"/>
    </row>
    <row r="58" spans="1:6" ht="25.5">
      <c r="A58" s="6" t="s">
        <v>59</v>
      </c>
      <c r="B58" s="10" t="s">
        <v>17</v>
      </c>
      <c r="C58" s="4" t="s">
        <v>52</v>
      </c>
      <c r="D58" s="8">
        <f>E58*$D$4*12</f>
        <v>1786.8960000000002</v>
      </c>
      <c r="E58" s="11">
        <v>0.06</v>
      </c>
      <c r="F58" s="2"/>
    </row>
    <row r="59" spans="1:6" ht="12.75">
      <c r="A59" s="6"/>
      <c r="B59" s="12" t="s">
        <v>43</v>
      </c>
      <c r="C59" s="4"/>
      <c r="D59" s="32">
        <f>D53+D54+D56+D57+D58</f>
        <v>9530.112000000001</v>
      </c>
      <c r="E59" s="13">
        <f>E53+E54+E56+E57+E58</f>
        <v>0.32</v>
      </c>
      <c r="F59" s="2"/>
    </row>
    <row r="60" spans="1:6" ht="12.75">
      <c r="A60" s="19"/>
      <c r="D60" s="19"/>
      <c r="F60" s="21"/>
    </row>
    <row r="61" spans="1:6" ht="45">
      <c r="A61" s="14" t="s">
        <v>3</v>
      </c>
      <c r="B61" s="14" t="s">
        <v>61</v>
      </c>
      <c r="C61" s="14" t="s">
        <v>37</v>
      </c>
      <c r="D61" s="14" t="s">
        <v>38</v>
      </c>
      <c r="E61" s="14" t="s">
        <v>39</v>
      </c>
      <c r="F61" s="14" t="s">
        <v>40</v>
      </c>
    </row>
    <row r="62" spans="1:6" ht="12.75">
      <c r="A62" s="15">
        <v>1</v>
      </c>
      <c r="B62" s="4" t="s">
        <v>41</v>
      </c>
      <c r="C62" s="15" t="s">
        <v>60</v>
      </c>
      <c r="D62" s="11">
        <v>5956.32</v>
      </c>
      <c r="E62" s="11">
        <v>0.2</v>
      </c>
      <c r="F62" s="15">
        <v>2</v>
      </c>
    </row>
    <row r="63" spans="1:6" ht="12.75">
      <c r="A63" s="15"/>
      <c r="B63" s="12" t="s">
        <v>43</v>
      </c>
      <c r="C63" s="16"/>
      <c r="D63" s="13">
        <f>D62</f>
        <v>5956.32</v>
      </c>
      <c r="E63" s="13">
        <f>E62</f>
        <v>0.2</v>
      </c>
      <c r="F63" s="16"/>
    </row>
    <row r="64" spans="1:6" ht="12.75">
      <c r="A64" s="19"/>
      <c r="D64" s="19"/>
      <c r="F64" s="21"/>
    </row>
    <row r="65" spans="2:3" ht="25.5">
      <c r="B65" s="30" t="s">
        <v>83</v>
      </c>
      <c r="C65" s="31">
        <f>C45</f>
        <v>265635.194304</v>
      </c>
    </row>
  </sheetData>
  <mergeCells count="5">
    <mergeCell ref="A55:E55"/>
    <mergeCell ref="A49:F49"/>
    <mergeCell ref="A52:E52"/>
    <mergeCell ref="C1:F1"/>
    <mergeCell ref="A5:D5"/>
  </mergeCells>
  <printOptions/>
  <pageMargins left="0.5118110236220472" right="0.3937007874015748" top="0.3937007874015748" bottom="0.3937007874015748" header="0" footer="0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86">
      <selection activeCell="B86" sqref="B86:C86"/>
    </sheetView>
  </sheetViews>
  <sheetFormatPr defaultColWidth="9.00390625" defaultRowHeight="12.75"/>
  <cols>
    <col min="1" max="1" width="4.125" style="35" customWidth="1"/>
    <col min="2" max="2" width="36.625" style="35" customWidth="1"/>
    <col min="3" max="3" width="22.875" style="35" customWidth="1"/>
    <col min="4" max="4" width="11.00390625" style="35" bestFit="1" customWidth="1"/>
    <col min="5" max="5" width="9.625" style="35" bestFit="1" customWidth="1"/>
    <col min="6" max="16384" width="9.125" style="35" customWidth="1"/>
  </cols>
  <sheetData>
    <row r="1" spans="1:7" ht="15">
      <c r="A1" s="415"/>
      <c r="B1" s="20" t="s">
        <v>313</v>
      </c>
      <c r="D1" s="415"/>
      <c r="F1" s="416"/>
      <c r="G1" s="41"/>
    </row>
    <row r="2" spans="1:7" ht="15">
      <c r="A2" s="415"/>
      <c r="D2" s="415"/>
      <c r="F2" s="416"/>
      <c r="G2" s="41"/>
    </row>
    <row r="3" spans="1:7" ht="15">
      <c r="A3" s="415"/>
      <c r="B3" s="20" t="s">
        <v>314</v>
      </c>
      <c r="C3" s="23">
        <v>617.6</v>
      </c>
      <c r="D3" s="22" t="s">
        <v>2</v>
      </c>
      <c r="F3" s="416"/>
      <c r="G3" s="41"/>
    </row>
    <row r="4" spans="1:7" ht="48.75" customHeight="1">
      <c r="A4" s="417" t="s">
        <v>62</v>
      </c>
      <c r="B4" s="417"/>
      <c r="C4" s="417"/>
      <c r="D4" s="417"/>
      <c r="F4" s="416"/>
      <c r="G4" s="41"/>
    </row>
    <row r="5" spans="1:7" ht="90">
      <c r="A5" s="45" t="s">
        <v>3</v>
      </c>
      <c r="B5" s="418" t="s">
        <v>4</v>
      </c>
      <c r="C5" s="419" t="s">
        <v>5</v>
      </c>
      <c r="D5" s="45" t="s">
        <v>6</v>
      </c>
      <c r="E5" s="45" t="s">
        <v>315</v>
      </c>
      <c r="F5" s="416"/>
      <c r="G5" s="41"/>
    </row>
    <row r="6" spans="1:7" ht="30" customHeight="1">
      <c r="A6" s="45"/>
      <c r="B6" s="420" t="s">
        <v>76</v>
      </c>
      <c r="C6" s="420"/>
      <c r="D6" s="421">
        <f>SUM(D7:D13)</f>
        <v>13451.328000000001</v>
      </c>
      <c r="E6" s="421">
        <f>SUM(E7:E13)</f>
        <v>1.8149999999999997</v>
      </c>
      <c r="F6" s="41"/>
      <c r="G6" s="41"/>
    </row>
    <row r="7" spans="1:7" ht="30">
      <c r="A7" s="45">
        <v>1</v>
      </c>
      <c r="B7" s="42" t="s">
        <v>57</v>
      </c>
      <c r="C7" s="54" t="s">
        <v>10</v>
      </c>
      <c r="D7" s="422">
        <f>E7*12*C3</f>
        <v>1467.4176000000002</v>
      </c>
      <c r="E7" s="422">
        <v>0.198</v>
      </c>
      <c r="F7" s="423"/>
      <c r="G7" s="41"/>
    </row>
    <row r="8" spans="1:7" ht="15">
      <c r="A8" s="45">
        <v>2</v>
      </c>
      <c r="B8" s="42" t="s">
        <v>81</v>
      </c>
      <c r="C8" s="54" t="s">
        <v>10</v>
      </c>
      <c r="D8" s="422">
        <f>E8*12*C3</f>
        <v>163.0464</v>
      </c>
      <c r="E8" s="422">
        <v>0.022000000000000002</v>
      </c>
      <c r="F8" s="423"/>
      <c r="G8" s="41"/>
    </row>
    <row r="9" spans="1:7" ht="30">
      <c r="A9" s="45">
        <v>3</v>
      </c>
      <c r="B9" s="42" t="s">
        <v>66</v>
      </c>
      <c r="C9" s="54" t="s">
        <v>15</v>
      </c>
      <c r="D9" s="422">
        <f>E9*C3*12</f>
        <v>1711.9872</v>
      </c>
      <c r="E9" s="422">
        <v>0.231</v>
      </c>
      <c r="F9" s="423"/>
      <c r="G9" s="41"/>
    </row>
    <row r="10" spans="1:7" ht="60" customHeight="1">
      <c r="A10" s="45">
        <v>4</v>
      </c>
      <c r="B10" s="42" t="s">
        <v>79</v>
      </c>
      <c r="C10" s="54" t="s">
        <v>16</v>
      </c>
      <c r="D10" s="422">
        <f>E10*12*C3</f>
        <v>9375.168</v>
      </c>
      <c r="E10" s="422">
        <v>1.265</v>
      </c>
      <c r="F10" s="423"/>
      <c r="G10" s="41"/>
    </row>
    <row r="11" spans="1:7" ht="15">
      <c r="A11" s="45">
        <v>5</v>
      </c>
      <c r="B11" s="42" t="s">
        <v>67</v>
      </c>
      <c r="C11" s="54" t="s">
        <v>12</v>
      </c>
      <c r="D11" s="422">
        <f>E11*12*C3</f>
        <v>81.5232</v>
      </c>
      <c r="E11" s="422">
        <v>0.011000000000000001</v>
      </c>
      <c r="F11" s="423"/>
      <c r="G11" s="41"/>
    </row>
    <row r="12" spans="1:7" ht="15">
      <c r="A12" s="45">
        <v>6</v>
      </c>
      <c r="B12" s="42" t="s">
        <v>17</v>
      </c>
      <c r="C12" s="54" t="s">
        <v>18</v>
      </c>
      <c r="D12" s="422">
        <f>E12*12*C3</f>
        <v>570.6624000000002</v>
      </c>
      <c r="E12" s="422">
        <v>0.07700000000000001</v>
      </c>
      <c r="F12" s="423"/>
      <c r="G12" s="41"/>
    </row>
    <row r="13" spans="1:7" ht="15">
      <c r="A13" s="45">
        <v>7</v>
      </c>
      <c r="B13" s="42" t="s">
        <v>80</v>
      </c>
      <c r="C13" s="54" t="s">
        <v>13</v>
      </c>
      <c r="D13" s="422">
        <f>E13*12*C3</f>
        <v>81.5232</v>
      </c>
      <c r="E13" s="422">
        <v>0.011000000000000001</v>
      </c>
      <c r="F13" s="423"/>
      <c r="G13" s="41"/>
    </row>
    <row r="14" spans="1:7" ht="29.25">
      <c r="A14" s="45"/>
      <c r="B14" s="424" t="s">
        <v>77</v>
      </c>
      <c r="C14" s="424"/>
      <c r="D14" s="421">
        <f>SUM(D15:D18)</f>
        <v>8559.936</v>
      </c>
      <c r="E14" s="421">
        <f>SUM(E15:E18)</f>
        <v>1.155</v>
      </c>
      <c r="F14" s="423"/>
      <c r="G14" s="41"/>
    </row>
    <row r="15" spans="1:7" ht="30">
      <c r="A15" s="45">
        <v>8</v>
      </c>
      <c r="B15" s="42" t="s">
        <v>21</v>
      </c>
      <c r="C15" s="54" t="s">
        <v>13</v>
      </c>
      <c r="D15" s="422">
        <f>E15*12*C3</f>
        <v>163.0464</v>
      </c>
      <c r="E15" s="422">
        <v>0.022000000000000002</v>
      </c>
      <c r="F15" s="423"/>
      <c r="G15" s="41"/>
    </row>
    <row r="16" spans="1:7" ht="27.75" customHeight="1">
      <c r="A16" s="45">
        <v>9</v>
      </c>
      <c r="B16" s="42" t="s">
        <v>22</v>
      </c>
      <c r="C16" s="54" t="s">
        <v>13</v>
      </c>
      <c r="D16" s="422">
        <f>E16*12*C3</f>
        <v>815.2320000000001</v>
      </c>
      <c r="E16" s="422">
        <v>0.11</v>
      </c>
      <c r="F16" s="423"/>
      <c r="G16" s="41"/>
    </row>
    <row r="17" spans="1:7" ht="30" customHeight="1">
      <c r="A17" s="45">
        <v>10</v>
      </c>
      <c r="B17" s="42" t="s">
        <v>23</v>
      </c>
      <c r="C17" s="54" t="s">
        <v>13</v>
      </c>
      <c r="D17" s="422">
        <f>E17*12*C3</f>
        <v>244.5696</v>
      </c>
      <c r="E17" s="422">
        <v>0.033</v>
      </c>
      <c r="F17" s="423"/>
      <c r="G17" s="41"/>
    </row>
    <row r="18" spans="1:7" ht="120">
      <c r="A18" s="45">
        <v>11</v>
      </c>
      <c r="B18" s="42" t="s">
        <v>24</v>
      </c>
      <c r="C18" s="54" t="s">
        <v>13</v>
      </c>
      <c r="D18" s="422">
        <f>E18*12*C3</f>
        <v>7337.088</v>
      </c>
      <c r="E18" s="422">
        <v>0.99</v>
      </c>
      <c r="F18" s="423"/>
      <c r="G18" s="41"/>
    </row>
    <row r="19" spans="1:7" ht="29.25">
      <c r="A19" s="45"/>
      <c r="B19" s="424" t="s">
        <v>316</v>
      </c>
      <c r="C19" s="54"/>
      <c r="D19" s="421">
        <f>D20+D21</f>
        <v>7663.1808</v>
      </c>
      <c r="E19" s="421">
        <f>SUM(E20+E21)</f>
        <v>1.034</v>
      </c>
      <c r="F19" s="416"/>
      <c r="G19" s="41"/>
    </row>
    <row r="20" spans="1:7" ht="15">
      <c r="A20" s="45">
        <v>12</v>
      </c>
      <c r="B20" s="42" t="s">
        <v>26</v>
      </c>
      <c r="C20" s="54" t="s">
        <v>27</v>
      </c>
      <c r="D20" s="425">
        <f>E20*12*C3</f>
        <v>7010.9952</v>
      </c>
      <c r="E20" s="425">
        <v>0.9460000000000001</v>
      </c>
      <c r="F20" s="416"/>
      <c r="G20" s="41"/>
    </row>
    <row r="21" spans="1:7" ht="15">
      <c r="A21" s="45">
        <v>13</v>
      </c>
      <c r="B21" s="42" t="s">
        <v>28</v>
      </c>
      <c r="C21" s="54" t="s">
        <v>29</v>
      </c>
      <c r="D21" s="425">
        <f>E21*12*C3</f>
        <v>652.1856</v>
      </c>
      <c r="E21" s="425">
        <v>0.08800000000000001</v>
      </c>
      <c r="F21" s="416"/>
      <c r="G21" s="41"/>
    </row>
    <row r="22" spans="1:7" ht="29.25">
      <c r="A22" s="45"/>
      <c r="B22" s="424" t="s">
        <v>317</v>
      </c>
      <c r="C22" s="54"/>
      <c r="D22" s="421">
        <f>SUM(D23:D24)</f>
        <v>13238.5814</v>
      </c>
      <c r="E22" s="421">
        <f>SUM(E23:E24)</f>
        <v>1.7862939065198615</v>
      </c>
      <c r="F22" s="416"/>
      <c r="G22" s="41"/>
    </row>
    <row r="23" spans="1:7" ht="91.5" customHeight="1">
      <c r="A23" s="45">
        <v>14</v>
      </c>
      <c r="B23" s="42" t="s">
        <v>88</v>
      </c>
      <c r="C23" s="42" t="s">
        <v>13</v>
      </c>
      <c r="D23" s="425">
        <f>E23*12*C3</f>
        <v>1141.3248000000003</v>
      </c>
      <c r="E23" s="425">
        <v>0.15400000000000003</v>
      </c>
      <c r="F23" s="416"/>
      <c r="G23" s="41"/>
    </row>
    <row r="24" spans="1:7" ht="90">
      <c r="A24" s="45">
        <v>15</v>
      </c>
      <c r="B24" s="42" t="s">
        <v>71</v>
      </c>
      <c r="C24" s="42" t="s">
        <v>72</v>
      </c>
      <c r="D24" s="425">
        <f>E24*12*C3</f>
        <v>12097.256599999999</v>
      </c>
      <c r="E24" s="425">
        <v>1.6322939065198616</v>
      </c>
      <c r="F24" s="416"/>
      <c r="G24" s="41"/>
    </row>
    <row r="25" spans="1:7" ht="29.25">
      <c r="A25" s="45"/>
      <c r="B25" s="424" t="s">
        <v>318</v>
      </c>
      <c r="C25" s="42"/>
      <c r="D25" s="421">
        <f>D26</f>
        <v>1467.4176000000002</v>
      </c>
      <c r="E25" s="421">
        <f>E26</f>
        <v>0.198</v>
      </c>
      <c r="F25" s="423"/>
      <c r="G25" s="41"/>
    </row>
    <row r="26" spans="1:7" ht="15">
      <c r="A26" s="45">
        <v>16</v>
      </c>
      <c r="B26" s="42" t="s">
        <v>68</v>
      </c>
      <c r="C26" s="42" t="s">
        <v>31</v>
      </c>
      <c r="D26" s="422">
        <f>E26*12*C3</f>
        <v>1467.4176000000002</v>
      </c>
      <c r="E26" s="422">
        <v>0.198</v>
      </c>
      <c r="F26" s="423"/>
      <c r="G26" s="41"/>
    </row>
    <row r="27" spans="1:7" ht="15">
      <c r="A27" s="45"/>
      <c r="B27" s="424" t="s">
        <v>319</v>
      </c>
      <c r="C27" s="42"/>
      <c r="D27" s="421">
        <f>D28</f>
        <v>489.1392</v>
      </c>
      <c r="E27" s="421">
        <f>E28</f>
        <v>0.066</v>
      </c>
      <c r="F27" s="416"/>
      <c r="G27" s="41"/>
    </row>
    <row r="28" spans="1:7" ht="15">
      <c r="A28" s="45">
        <v>17</v>
      </c>
      <c r="B28" s="54" t="s">
        <v>32</v>
      </c>
      <c r="C28" s="54" t="s">
        <v>10</v>
      </c>
      <c r="D28" s="425">
        <f>E28*12*C3</f>
        <v>489.1392</v>
      </c>
      <c r="E28" s="425">
        <v>0.066</v>
      </c>
      <c r="F28" s="416"/>
      <c r="G28" s="41"/>
    </row>
    <row r="29" spans="1:7" ht="15">
      <c r="A29" s="418"/>
      <c r="B29" s="424" t="s">
        <v>36</v>
      </c>
      <c r="C29" s="424"/>
      <c r="D29" s="426">
        <f>D6+D14+D19+D22+D25+D27</f>
        <v>44869.583000000006</v>
      </c>
      <c r="E29" s="421">
        <f>E6+E14+E19+E22+E25+E27</f>
        <v>6.054293906519861</v>
      </c>
      <c r="F29" s="416"/>
      <c r="G29" s="41"/>
    </row>
    <row r="30" spans="1:7" ht="15">
      <c r="A30" s="415"/>
      <c r="D30" s="415"/>
      <c r="F30" s="416"/>
      <c r="G30" s="41"/>
    </row>
    <row r="31" spans="1:7" ht="105">
      <c r="A31" s="45" t="s">
        <v>3</v>
      </c>
      <c r="B31" s="45" t="s">
        <v>320</v>
      </c>
      <c r="C31" s="45" t="s">
        <v>37</v>
      </c>
      <c r="D31" s="45" t="s">
        <v>38</v>
      </c>
      <c r="E31" s="45" t="s">
        <v>39</v>
      </c>
      <c r="F31" s="45" t="s">
        <v>40</v>
      </c>
      <c r="G31" s="41"/>
    </row>
    <row r="32" spans="1:7" ht="15">
      <c r="A32" s="45">
        <v>1</v>
      </c>
      <c r="B32" s="42" t="s">
        <v>41</v>
      </c>
      <c r="C32" s="45" t="s">
        <v>321</v>
      </c>
      <c r="D32" s="418">
        <v>16305</v>
      </c>
      <c r="E32" s="418">
        <f>D32/C3/12</f>
        <v>2.2000485751295336</v>
      </c>
      <c r="F32" s="45">
        <v>2</v>
      </c>
      <c r="G32" s="41"/>
    </row>
    <row r="33" spans="1:7" ht="15">
      <c r="A33" s="45"/>
      <c r="B33" s="424" t="s">
        <v>43</v>
      </c>
      <c r="C33" s="44"/>
      <c r="D33" s="427">
        <f>D32</f>
        <v>16305</v>
      </c>
      <c r="E33" s="428">
        <f>E32</f>
        <v>2.2000485751295336</v>
      </c>
      <c r="F33" s="44"/>
      <c r="G33" s="41"/>
    </row>
    <row r="34" spans="1:7" ht="15">
      <c r="A34" s="415"/>
      <c r="D34" s="415"/>
      <c r="F34" s="416"/>
      <c r="G34" s="41"/>
    </row>
    <row r="35" spans="2:3" ht="43.5" customHeight="1">
      <c r="B35" s="74" t="s">
        <v>322</v>
      </c>
      <c r="C35" s="429">
        <f>D29+D33</f>
        <v>61174.583000000006</v>
      </c>
    </row>
    <row r="37" spans="2:3" ht="15">
      <c r="B37" s="22" t="s">
        <v>84</v>
      </c>
      <c r="C37" s="430">
        <f>E29+E33</f>
        <v>8.254342481649395</v>
      </c>
    </row>
    <row r="38" spans="2:3" ht="15">
      <c r="B38" s="22"/>
      <c r="C38" s="430"/>
    </row>
    <row r="39" spans="1:7" ht="25.5" customHeight="1">
      <c r="A39" s="287" t="s">
        <v>44</v>
      </c>
      <c r="B39" s="287"/>
      <c r="C39" s="287"/>
      <c r="D39" s="287"/>
      <c r="E39" s="287"/>
      <c r="F39" s="287"/>
      <c r="G39" s="41"/>
    </row>
    <row r="40" spans="1:7" ht="15">
      <c r="A40" s="36"/>
      <c r="B40" s="36"/>
      <c r="C40" s="36"/>
      <c r="D40" s="36"/>
      <c r="E40" s="41"/>
      <c r="F40" s="41"/>
      <c r="G40" s="41"/>
    </row>
    <row r="41" spans="1:7" ht="57">
      <c r="A41" s="42"/>
      <c r="B41" s="258" t="s">
        <v>4</v>
      </c>
      <c r="C41" s="258" t="s">
        <v>45</v>
      </c>
      <c r="D41" s="258" t="s">
        <v>6</v>
      </c>
      <c r="E41" s="258" t="s">
        <v>46</v>
      </c>
      <c r="F41" s="41"/>
      <c r="G41" s="41"/>
    </row>
    <row r="42" spans="1:7" ht="15">
      <c r="A42" s="288" t="s">
        <v>47</v>
      </c>
      <c r="B42" s="288"/>
      <c r="C42" s="288"/>
      <c r="D42" s="288"/>
      <c r="E42" s="288"/>
      <c r="F42" s="41"/>
      <c r="G42" s="41"/>
    </row>
    <row r="43" spans="1:7" ht="30">
      <c r="A43" s="52" t="s">
        <v>73</v>
      </c>
      <c r="B43" s="88" t="s">
        <v>51</v>
      </c>
      <c r="C43" s="88" t="s">
        <v>52</v>
      </c>
      <c r="D43" s="431">
        <v>74.112</v>
      </c>
      <c r="E43" s="432">
        <v>0.01</v>
      </c>
      <c r="F43" s="41"/>
      <c r="G43" s="41"/>
    </row>
    <row r="44" spans="1:7" ht="14.25" customHeight="1">
      <c r="A44" s="288" t="s">
        <v>53</v>
      </c>
      <c r="B44" s="288"/>
      <c r="C44" s="288"/>
      <c r="D44" s="288"/>
      <c r="E44" s="288"/>
      <c r="F44" s="41"/>
      <c r="G44" s="41"/>
    </row>
    <row r="45" spans="1:7" ht="30">
      <c r="A45" s="52" t="s">
        <v>75</v>
      </c>
      <c r="B45" s="88" t="s">
        <v>57</v>
      </c>
      <c r="C45" s="88" t="s">
        <v>58</v>
      </c>
      <c r="D45" s="431">
        <v>1630.4640000000002</v>
      </c>
      <c r="E45" s="432">
        <v>0.22</v>
      </c>
      <c r="F45" s="41"/>
      <c r="G45" s="41"/>
    </row>
    <row r="46" spans="1:7" ht="30">
      <c r="A46" s="52" t="s">
        <v>74</v>
      </c>
      <c r="B46" s="123" t="s">
        <v>17</v>
      </c>
      <c r="C46" s="42" t="s">
        <v>52</v>
      </c>
      <c r="D46" s="431">
        <v>444.67199999999997</v>
      </c>
      <c r="E46" s="433">
        <v>0.06</v>
      </c>
      <c r="F46" s="41"/>
      <c r="G46" s="41"/>
    </row>
    <row r="47" spans="1:7" ht="15">
      <c r="A47" s="45"/>
      <c r="B47" s="424" t="s">
        <v>43</v>
      </c>
      <c r="C47" s="44"/>
      <c r="D47" s="434">
        <f>D43+D45+D46</f>
        <v>2149.248</v>
      </c>
      <c r="E47" s="434">
        <f>E43+E45+E46</f>
        <v>0.29000000000000004</v>
      </c>
      <c r="F47" s="435"/>
      <c r="G47" s="41"/>
    </row>
    <row r="48" spans="1:7" ht="15">
      <c r="A48" s="84"/>
      <c r="B48" s="74"/>
      <c r="C48" s="435"/>
      <c r="D48" s="436"/>
      <c r="E48" s="436"/>
      <c r="F48" s="435"/>
      <c r="G48" s="41"/>
    </row>
    <row r="49" spans="1:7" ht="15">
      <c r="A49" s="84"/>
      <c r="B49" s="74"/>
      <c r="C49" s="435"/>
      <c r="D49" s="436"/>
      <c r="E49" s="436"/>
      <c r="F49" s="435"/>
      <c r="G49" s="41"/>
    </row>
    <row r="50" spans="1:7" ht="15">
      <c r="A50" s="415"/>
      <c r="D50" s="415"/>
      <c r="F50" s="437"/>
      <c r="G50" s="41"/>
    </row>
    <row r="51" spans="1:7" ht="105">
      <c r="A51" s="45" t="s">
        <v>3</v>
      </c>
      <c r="B51" s="45" t="s">
        <v>320</v>
      </c>
      <c r="C51" s="45" t="s">
        <v>37</v>
      </c>
      <c r="D51" s="45" t="s">
        <v>38</v>
      </c>
      <c r="E51" s="45" t="s">
        <v>39</v>
      </c>
      <c r="F51" s="45" t="s">
        <v>40</v>
      </c>
      <c r="G51" s="41"/>
    </row>
    <row r="52" spans="1:7" ht="15">
      <c r="A52" s="45">
        <v>1</v>
      </c>
      <c r="B52" s="42" t="s">
        <v>41</v>
      </c>
      <c r="C52" s="45" t="s">
        <v>323</v>
      </c>
      <c r="D52" s="438">
        <v>3500</v>
      </c>
      <c r="E52" s="433">
        <f>D52/12/C3</f>
        <v>0.4722582037996546</v>
      </c>
      <c r="F52" s="45">
        <v>2</v>
      </c>
      <c r="G52" s="41"/>
    </row>
    <row r="53" spans="1:7" ht="15">
      <c r="A53" s="45"/>
      <c r="B53" s="424" t="s">
        <v>43</v>
      </c>
      <c r="C53" s="44"/>
      <c r="D53" s="427">
        <f>D52</f>
        <v>3500</v>
      </c>
      <c r="E53" s="434">
        <v>0.4722582037996546</v>
      </c>
      <c r="F53" s="44">
        <v>2</v>
      </c>
      <c r="G53" s="41"/>
    </row>
    <row r="54" spans="1:7" ht="15">
      <c r="A54" s="415"/>
      <c r="D54" s="415"/>
      <c r="F54" s="416"/>
      <c r="G54" s="41"/>
    </row>
    <row r="55" ht="130.5" customHeight="1"/>
    <row r="56" spans="1:7" ht="15">
      <c r="A56" s="415"/>
      <c r="B56" s="20" t="s">
        <v>324</v>
      </c>
      <c r="C56" s="23">
        <v>602</v>
      </c>
      <c r="D56" s="22" t="s">
        <v>2</v>
      </c>
      <c r="F56" s="416"/>
      <c r="G56" s="41"/>
    </row>
    <row r="57" spans="1:7" ht="15">
      <c r="A57" s="415"/>
      <c r="B57" s="20"/>
      <c r="C57" s="23"/>
      <c r="D57" s="22"/>
      <c r="F57" s="416"/>
      <c r="G57" s="41"/>
    </row>
    <row r="58" spans="1:7" ht="25.5" customHeight="1">
      <c r="A58" s="417" t="s">
        <v>62</v>
      </c>
      <c r="B58" s="417"/>
      <c r="C58" s="417"/>
      <c r="D58" s="417"/>
      <c r="F58" s="416"/>
      <c r="G58" s="41"/>
    </row>
    <row r="59" spans="1:7" ht="90">
      <c r="A59" s="45" t="s">
        <v>3</v>
      </c>
      <c r="B59" s="418" t="s">
        <v>4</v>
      </c>
      <c r="C59" s="439" t="s">
        <v>5</v>
      </c>
      <c r="D59" s="45" t="s">
        <v>6</v>
      </c>
      <c r="E59" s="45" t="s">
        <v>7</v>
      </c>
      <c r="F59" s="416"/>
      <c r="G59" s="41"/>
    </row>
    <row r="60" spans="1:7" ht="28.5" customHeight="1">
      <c r="A60" s="45"/>
      <c r="B60" s="420" t="s">
        <v>76</v>
      </c>
      <c r="C60" s="440"/>
      <c r="D60" s="441">
        <f>SUM(D61:D67)</f>
        <v>13508.880000000001</v>
      </c>
      <c r="E60" s="421">
        <f>E61+E62+E63+E64+E65+E66+E67</f>
        <v>1.8699999999999999</v>
      </c>
      <c r="F60" s="423"/>
      <c r="G60" s="41"/>
    </row>
    <row r="61" spans="1:7" ht="30">
      <c r="A61" s="45">
        <v>1</v>
      </c>
      <c r="B61" s="42" t="s">
        <v>57</v>
      </c>
      <c r="C61" s="54" t="s">
        <v>10</v>
      </c>
      <c r="D61" s="442">
        <f>E61*12*C56</f>
        <v>1509.816</v>
      </c>
      <c r="E61" s="425">
        <v>0.20900000000000002</v>
      </c>
      <c r="F61" s="423"/>
      <c r="G61" s="41"/>
    </row>
    <row r="62" spans="1:7" ht="15">
      <c r="A62" s="45">
        <v>2</v>
      </c>
      <c r="B62" s="42" t="s">
        <v>81</v>
      </c>
      <c r="C62" s="54" t="s">
        <v>10</v>
      </c>
      <c r="D62" s="442">
        <f>E62*12*C56</f>
        <v>158.928</v>
      </c>
      <c r="E62" s="425">
        <v>0.022000000000000002</v>
      </c>
      <c r="F62" s="423"/>
      <c r="G62" s="41"/>
    </row>
    <row r="63" spans="1:7" ht="30">
      <c r="A63" s="45">
        <v>3</v>
      </c>
      <c r="B63" s="42" t="s">
        <v>66</v>
      </c>
      <c r="C63" s="54" t="s">
        <v>15</v>
      </c>
      <c r="D63" s="442">
        <f>E63*12*C56</f>
        <v>1748.2080000000003</v>
      </c>
      <c r="E63" s="425">
        <v>0.24200000000000002</v>
      </c>
      <c r="F63" s="423"/>
      <c r="G63" s="41"/>
    </row>
    <row r="64" spans="1:7" ht="60">
      <c r="A64" s="45">
        <v>4</v>
      </c>
      <c r="B64" s="42" t="s">
        <v>79</v>
      </c>
      <c r="C64" s="54" t="s">
        <v>16</v>
      </c>
      <c r="D64" s="442">
        <f>E64*12*C56</f>
        <v>9376.752</v>
      </c>
      <c r="E64" s="425">
        <v>1.298</v>
      </c>
      <c r="F64" s="423"/>
      <c r="G64" s="41"/>
    </row>
    <row r="65" spans="1:7" ht="15">
      <c r="A65" s="45">
        <v>5</v>
      </c>
      <c r="B65" s="42" t="s">
        <v>67</v>
      </c>
      <c r="C65" s="54" t="s">
        <v>12</v>
      </c>
      <c r="D65" s="442">
        <f>E65*12*C56</f>
        <v>79.464</v>
      </c>
      <c r="E65" s="425">
        <v>0.011000000000000001</v>
      </c>
      <c r="F65" s="423"/>
      <c r="G65" s="41"/>
    </row>
    <row r="66" spans="1:7" ht="15">
      <c r="A66" s="45">
        <v>6</v>
      </c>
      <c r="B66" s="42" t="s">
        <v>17</v>
      </c>
      <c r="C66" s="54" t="s">
        <v>18</v>
      </c>
      <c r="D66" s="442">
        <f>E66*12*C56</f>
        <v>556.248</v>
      </c>
      <c r="E66" s="425">
        <v>0.07700000000000001</v>
      </c>
      <c r="F66" s="423"/>
      <c r="G66" s="41"/>
    </row>
    <row r="67" spans="1:7" ht="15">
      <c r="A67" s="45">
        <v>7</v>
      </c>
      <c r="B67" s="42" t="s">
        <v>80</v>
      </c>
      <c r="C67" s="54" t="s">
        <v>13</v>
      </c>
      <c r="D67" s="442">
        <f>E67*12*C56</f>
        <v>79.464</v>
      </c>
      <c r="E67" s="425">
        <v>0.011000000000000001</v>
      </c>
      <c r="F67" s="423"/>
      <c r="G67" s="41"/>
    </row>
    <row r="68" spans="1:7" ht="29.25" customHeight="1">
      <c r="A68" s="45"/>
      <c r="B68" s="420" t="s">
        <v>77</v>
      </c>
      <c r="C68" s="440"/>
      <c r="D68" s="441">
        <f>SUM(D69:D72)</f>
        <v>8502.648000000001</v>
      </c>
      <c r="E68" s="421">
        <f>E69+E70+E71+E72</f>
        <v>1.177</v>
      </c>
      <c r="F68" s="423"/>
      <c r="G68" s="41"/>
    </row>
    <row r="69" spans="1:7" ht="30">
      <c r="A69" s="45">
        <v>8</v>
      </c>
      <c r="B69" s="42" t="s">
        <v>21</v>
      </c>
      <c r="C69" s="54" t="s">
        <v>13</v>
      </c>
      <c r="D69" s="443">
        <f>E69*12*C56</f>
        <v>158.928</v>
      </c>
      <c r="E69" s="425">
        <v>0.022000000000000002</v>
      </c>
      <c r="F69" s="423"/>
      <c r="G69" s="41"/>
    </row>
    <row r="70" spans="1:7" ht="27.75" customHeight="1">
      <c r="A70" s="45">
        <v>9</v>
      </c>
      <c r="B70" s="42" t="s">
        <v>22</v>
      </c>
      <c r="C70" s="54" t="s">
        <v>13</v>
      </c>
      <c r="D70" s="443">
        <f>E70*12*C56</f>
        <v>874.1040000000002</v>
      </c>
      <c r="E70" s="425">
        <v>0.12100000000000001</v>
      </c>
      <c r="F70" s="423"/>
      <c r="G70" s="41"/>
    </row>
    <row r="71" spans="1:7" ht="33.75" customHeight="1">
      <c r="A71" s="45">
        <v>10</v>
      </c>
      <c r="B71" s="42" t="s">
        <v>23</v>
      </c>
      <c r="C71" s="54" t="s">
        <v>13</v>
      </c>
      <c r="D71" s="443">
        <f>E71*12*C56</f>
        <v>238.39200000000002</v>
      </c>
      <c r="E71" s="425">
        <v>0.033</v>
      </c>
      <c r="F71" s="423"/>
      <c r="G71" s="41"/>
    </row>
    <row r="72" spans="1:7" ht="120">
      <c r="A72" s="45">
        <v>11</v>
      </c>
      <c r="B72" s="42" t="s">
        <v>24</v>
      </c>
      <c r="C72" s="54" t="s">
        <v>13</v>
      </c>
      <c r="D72" s="442">
        <f>E72*12*C56</f>
        <v>7231.224</v>
      </c>
      <c r="E72" s="425">
        <v>1.0010000000000001</v>
      </c>
      <c r="F72" s="423"/>
      <c r="G72" s="41"/>
    </row>
    <row r="73" spans="1:7" ht="15">
      <c r="A73" s="45"/>
      <c r="B73" s="420" t="s">
        <v>316</v>
      </c>
      <c r="C73" s="440"/>
      <c r="D73" s="434">
        <f>SUM(D74:D75)</f>
        <v>7151.76</v>
      </c>
      <c r="E73" s="444">
        <f>E74+E75</f>
        <v>0.99</v>
      </c>
      <c r="F73" s="416"/>
      <c r="G73" s="41"/>
    </row>
    <row r="74" spans="1:7" ht="15">
      <c r="A74" s="45">
        <v>12</v>
      </c>
      <c r="B74" s="42" t="s">
        <v>26</v>
      </c>
      <c r="C74" s="54" t="s">
        <v>27</v>
      </c>
      <c r="D74" s="433">
        <f>E74*12*C56</f>
        <v>6516.048</v>
      </c>
      <c r="E74" s="425">
        <v>0.902</v>
      </c>
      <c r="F74" s="416"/>
      <c r="G74" s="41"/>
    </row>
    <row r="75" spans="1:7" ht="15">
      <c r="A75" s="45">
        <v>13</v>
      </c>
      <c r="B75" s="42" t="s">
        <v>28</v>
      </c>
      <c r="C75" s="54" t="s">
        <v>29</v>
      </c>
      <c r="D75" s="433">
        <f>E75*12*C56</f>
        <v>635.712</v>
      </c>
      <c r="E75" s="425">
        <v>0.08800000000000001</v>
      </c>
      <c r="F75" s="416"/>
      <c r="G75" s="41"/>
    </row>
    <row r="76" spans="1:7" ht="29.25" customHeight="1">
      <c r="A76" s="45"/>
      <c r="B76" s="420" t="s">
        <v>317</v>
      </c>
      <c r="C76" s="440"/>
      <c r="D76" s="434">
        <f>SUM(D77:D78)</f>
        <v>12475.847999999998</v>
      </c>
      <c r="E76" s="444">
        <f>E77+E78</f>
        <v>1.727</v>
      </c>
      <c r="F76" s="416"/>
      <c r="G76" s="41"/>
    </row>
    <row r="77" spans="1:7" ht="91.5" customHeight="1">
      <c r="A77" s="45">
        <v>14</v>
      </c>
      <c r="B77" s="42" t="s">
        <v>88</v>
      </c>
      <c r="C77" s="42" t="s">
        <v>13</v>
      </c>
      <c r="D77" s="433">
        <f>E77*12*C56</f>
        <v>1191.96</v>
      </c>
      <c r="E77" s="425">
        <v>0.165</v>
      </c>
      <c r="F77" s="416"/>
      <c r="G77" s="41"/>
    </row>
    <row r="78" spans="1:7" ht="90">
      <c r="A78" s="45">
        <v>15</v>
      </c>
      <c r="B78" s="42" t="s">
        <v>71</v>
      </c>
      <c r="C78" s="42" t="s">
        <v>72</v>
      </c>
      <c r="D78" s="433">
        <f>E78*12*C56</f>
        <v>11283.887999999999</v>
      </c>
      <c r="E78" s="425">
        <v>1.562</v>
      </c>
      <c r="F78" s="416"/>
      <c r="G78" s="41"/>
    </row>
    <row r="79" spans="1:7" ht="15">
      <c r="A79" s="45"/>
      <c r="B79" s="420" t="s">
        <v>318</v>
      </c>
      <c r="C79" s="440"/>
      <c r="D79" s="434">
        <f>D80</f>
        <v>1430.352</v>
      </c>
      <c r="E79" s="444">
        <f>E80</f>
        <v>0.198</v>
      </c>
      <c r="F79" s="416"/>
      <c r="G79" s="41"/>
    </row>
    <row r="80" spans="1:7" ht="15">
      <c r="A80" s="45">
        <v>16</v>
      </c>
      <c r="B80" s="42" t="s">
        <v>68</v>
      </c>
      <c r="C80" s="42" t="s">
        <v>31</v>
      </c>
      <c r="D80" s="433">
        <f>E80*12*C56</f>
        <v>1430.352</v>
      </c>
      <c r="E80" s="425">
        <v>0.198</v>
      </c>
      <c r="F80" s="416"/>
      <c r="G80" s="41"/>
    </row>
    <row r="81" spans="1:7" ht="15">
      <c r="A81" s="45"/>
      <c r="B81" s="424" t="s">
        <v>319</v>
      </c>
      <c r="C81" s="42"/>
      <c r="D81" s="434">
        <f>D82</f>
        <v>428.3832</v>
      </c>
      <c r="E81" s="444">
        <f>E82</f>
        <v>0.0593</v>
      </c>
      <c r="F81" s="416"/>
      <c r="G81" s="41"/>
    </row>
    <row r="82" spans="1:7" ht="15">
      <c r="A82" s="45">
        <v>17</v>
      </c>
      <c r="B82" s="54" t="s">
        <v>32</v>
      </c>
      <c r="C82" s="54" t="s">
        <v>10</v>
      </c>
      <c r="D82" s="433">
        <f>E82*12*C56</f>
        <v>428.3832</v>
      </c>
      <c r="E82" s="445">
        <v>0.0593</v>
      </c>
      <c r="F82" s="416"/>
      <c r="G82" s="41"/>
    </row>
    <row r="83" spans="1:7" ht="15">
      <c r="A83" s="418"/>
      <c r="B83" s="424" t="s">
        <v>36</v>
      </c>
      <c r="C83" s="424"/>
      <c r="D83" s="427">
        <f>D60+D68+D73+D76+D79+D81+0.2</f>
        <v>43498.07119999999</v>
      </c>
      <c r="E83" s="444">
        <f>E60+E68+E73+E76+E79+E81</f>
        <v>6.021300000000001</v>
      </c>
      <c r="F83" s="416"/>
      <c r="G83" s="41"/>
    </row>
    <row r="84" spans="1:7" ht="15">
      <c r="A84" s="415"/>
      <c r="C84" s="415"/>
      <c r="D84" s="415"/>
      <c r="F84" s="416"/>
      <c r="G84" s="41"/>
    </row>
    <row r="85" spans="1:7" ht="105">
      <c r="A85" s="45" t="s">
        <v>3</v>
      </c>
      <c r="B85" s="45" t="s">
        <v>320</v>
      </c>
      <c r="C85" s="45" t="s">
        <v>37</v>
      </c>
      <c r="D85" s="45" t="s">
        <v>38</v>
      </c>
      <c r="E85" s="45" t="s">
        <v>39</v>
      </c>
      <c r="F85" s="45" t="s">
        <v>40</v>
      </c>
      <c r="G85" s="41"/>
    </row>
    <row r="86" spans="1:7" ht="15">
      <c r="A86" s="45">
        <v>1</v>
      </c>
      <c r="B86" s="42" t="s">
        <v>41</v>
      </c>
      <c r="C86" s="45" t="s">
        <v>325</v>
      </c>
      <c r="D86" s="438">
        <v>15884.88</v>
      </c>
      <c r="E86" s="433">
        <f>D86/12/C56</f>
        <v>2.1989036544850498</v>
      </c>
      <c r="F86" s="45">
        <v>2</v>
      </c>
      <c r="G86" s="41"/>
    </row>
    <row r="87" spans="1:7" ht="15">
      <c r="A87" s="45"/>
      <c r="B87" s="424" t="s">
        <v>43</v>
      </c>
      <c r="C87" s="44"/>
      <c r="D87" s="427">
        <f>D86</f>
        <v>15884.88</v>
      </c>
      <c r="E87" s="434">
        <f>E86</f>
        <v>2.1989036544850498</v>
      </c>
      <c r="F87" s="44"/>
      <c r="G87" s="41"/>
    </row>
    <row r="88" spans="1:7" ht="15">
      <c r="A88" s="415"/>
      <c r="D88" s="415"/>
      <c r="F88" s="416"/>
      <c r="G88" s="41"/>
    </row>
    <row r="89" spans="2:3" ht="43.5">
      <c r="B89" s="74" t="s">
        <v>322</v>
      </c>
      <c r="C89" s="429">
        <f>D83+D87</f>
        <v>59382.95119999999</v>
      </c>
    </row>
    <row r="91" spans="2:3" ht="15">
      <c r="B91" s="22" t="s">
        <v>84</v>
      </c>
      <c r="C91" s="430">
        <f>E83+E87</f>
        <v>8.22020365448505</v>
      </c>
    </row>
    <row r="92" spans="2:3" ht="15">
      <c r="B92" s="22"/>
      <c r="C92" s="430"/>
    </row>
    <row r="93" spans="2:3" ht="15">
      <c r="B93" s="22"/>
      <c r="C93" s="430"/>
    </row>
    <row r="94" spans="1:7" ht="29.25" customHeight="1">
      <c r="A94" s="287" t="s">
        <v>44</v>
      </c>
      <c r="B94" s="287"/>
      <c r="C94" s="287"/>
      <c r="D94" s="287"/>
      <c r="E94" s="287"/>
      <c r="F94" s="287"/>
      <c r="G94" s="41"/>
    </row>
    <row r="95" spans="1:7" ht="15">
      <c r="A95" s="36"/>
      <c r="B95" s="36"/>
      <c r="C95" s="36"/>
      <c r="D95" s="36"/>
      <c r="E95" s="41"/>
      <c r="F95" s="41"/>
      <c r="G95" s="41"/>
    </row>
    <row r="96" spans="1:7" ht="57">
      <c r="A96" s="42"/>
      <c r="B96" s="258" t="s">
        <v>4</v>
      </c>
      <c r="C96" s="258" t="s">
        <v>45</v>
      </c>
      <c r="D96" s="258" t="s">
        <v>6</v>
      </c>
      <c r="E96" s="258" t="s">
        <v>46</v>
      </c>
      <c r="F96" s="41"/>
      <c r="G96" s="41"/>
    </row>
    <row r="97" spans="1:7" ht="15">
      <c r="A97" s="288" t="s">
        <v>47</v>
      </c>
      <c r="B97" s="288"/>
      <c r="C97" s="288"/>
      <c r="D97" s="288"/>
      <c r="E97" s="288"/>
      <c r="F97" s="41"/>
      <c r="G97" s="41"/>
    </row>
    <row r="98" spans="1:7" ht="30">
      <c r="A98" s="52" t="s">
        <v>73</v>
      </c>
      <c r="B98" s="88" t="s">
        <v>51</v>
      </c>
      <c r="C98" s="88" t="s">
        <v>52</v>
      </c>
      <c r="D98" s="431">
        <v>72.20400000000001</v>
      </c>
      <c r="E98" s="439">
        <v>0.01</v>
      </c>
      <c r="F98" s="41"/>
      <c r="G98" s="41"/>
    </row>
    <row r="99" spans="1:7" ht="35.25" customHeight="1">
      <c r="A99" s="288" t="s">
        <v>53</v>
      </c>
      <c r="B99" s="288"/>
      <c r="C99" s="288"/>
      <c r="D99" s="288"/>
      <c r="E99" s="288"/>
      <c r="F99" s="41"/>
      <c r="G99" s="41"/>
    </row>
    <row r="100" spans="1:7" ht="30">
      <c r="A100" s="52" t="s">
        <v>75</v>
      </c>
      <c r="B100" s="88" t="s">
        <v>57</v>
      </c>
      <c r="C100" s="88" t="s">
        <v>58</v>
      </c>
      <c r="D100" s="431">
        <v>1588.4880000000003</v>
      </c>
      <c r="E100" s="439">
        <v>0.22</v>
      </c>
      <c r="F100" s="41"/>
      <c r="G100" s="41"/>
    </row>
    <row r="101" spans="1:7" ht="30">
      <c r="A101" s="52" t="s">
        <v>74</v>
      </c>
      <c r="B101" s="123" t="s">
        <v>17</v>
      </c>
      <c r="C101" s="42" t="s">
        <v>52</v>
      </c>
      <c r="D101" s="431">
        <v>433.22400000000005</v>
      </c>
      <c r="E101" s="418">
        <v>0.06</v>
      </c>
      <c r="F101" s="41"/>
      <c r="G101" s="41"/>
    </row>
    <row r="102" spans="1:7" ht="15">
      <c r="A102" s="45"/>
      <c r="B102" s="424" t="s">
        <v>43</v>
      </c>
      <c r="C102" s="44"/>
      <c r="D102" s="434">
        <f>D98+D100+D101</f>
        <v>2093.916</v>
      </c>
      <c r="E102" s="434">
        <f>E98+E100+E101</f>
        <v>0.29000000000000004</v>
      </c>
      <c r="F102" s="435"/>
      <c r="G102" s="41"/>
    </row>
    <row r="103" spans="1:7" ht="15">
      <c r="A103" s="415"/>
      <c r="D103" s="415"/>
      <c r="F103" s="416"/>
      <c r="G103" s="41"/>
    </row>
    <row r="104" spans="1:7" ht="105">
      <c r="A104" s="45" t="s">
        <v>3</v>
      </c>
      <c r="B104" s="45" t="s">
        <v>320</v>
      </c>
      <c r="C104" s="45" t="s">
        <v>37</v>
      </c>
      <c r="D104" s="45" t="s">
        <v>38</v>
      </c>
      <c r="E104" s="45" t="s">
        <v>39</v>
      </c>
      <c r="F104" s="45" t="s">
        <v>40</v>
      </c>
      <c r="G104" s="41"/>
    </row>
    <row r="105" spans="1:7" ht="15">
      <c r="A105" s="45">
        <v>1</v>
      </c>
      <c r="B105" s="42" t="s">
        <v>41</v>
      </c>
      <c r="C105" s="45" t="s">
        <v>323</v>
      </c>
      <c r="D105" s="433">
        <v>3500</v>
      </c>
      <c r="E105" s="433">
        <f>D105/12/C3</f>
        <v>0.4722582037996546</v>
      </c>
      <c r="F105" s="45">
        <v>2</v>
      </c>
      <c r="G105" s="41"/>
    </row>
    <row r="106" spans="1:7" ht="15">
      <c r="A106" s="45"/>
      <c r="B106" s="424" t="s">
        <v>43</v>
      </c>
      <c r="C106" s="44"/>
      <c r="D106" s="434">
        <f>D105</f>
        <v>3500</v>
      </c>
      <c r="E106" s="434">
        <f>E105</f>
        <v>0.4722582037996546</v>
      </c>
      <c r="F106" s="44">
        <v>2</v>
      </c>
      <c r="G106" s="41"/>
    </row>
    <row r="107" spans="1:7" ht="15">
      <c r="A107" s="415"/>
      <c r="C107" s="415"/>
      <c r="D107" s="415"/>
      <c r="F107" s="416"/>
      <c r="G107" s="41"/>
    </row>
    <row r="108" spans="2:3" ht="43.5">
      <c r="B108" s="74" t="s">
        <v>326</v>
      </c>
      <c r="C108" s="85">
        <f>C89+C35</f>
        <v>120557.5342</v>
      </c>
    </row>
  </sheetData>
  <mergeCells count="14">
    <mergeCell ref="A94:F94"/>
    <mergeCell ref="A97:E97"/>
    <mergeCell ref="A99:E99"/>
    <mergeCell ref="A58:D58"/>
    <mergeCell ref="B79:C79"/>
    <mergeCell ref="B60:C60"/>
    <mergeCell ref="B68:C68"/>
    <mergeCell ref="B73:C73"/>
    <mergeCell ref="B76:C76"/>
    <mergeCell ref="A44:E44"/>
    <mergeCell ref="A4:D4"/>
    <mergeCell ref="B6:C6"/>
    <mergeCell ref="A39:F39"/>
    <mergeCell ref="A42:E42"/>
  </mergeCells>
  <printOptions horizontalCentered="1"/>
  <pageMargins left="0.3937007874015748" right="0.31496062992125984" top="0.31496062992125984" bottom="0.31496062992125984" header="0" footer="0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7"/>
  <sheetViews>
    <sheetView zoomScaleSheetLayoutView="100" workbookViewId="0" topLeftCell="A73">
      <selection activeCell="B86" sqref="B86:C86"/>
    </sheetView>
  </sheetViews>
  <sheetFormatPr defaultColWidth="9.00390625" defaultRowHeight="12.75"/>
  <cols>
    <col min="1" max="1" width="3.875" style="35" customWidth="1"/>
    <col min="2" max="2" width="45.25390625" style="35" customWidth="1"/>
    <col min="3" max="3" width="16.125" style="35" customWidth="1"/>
    <col min="4" max="4" width="9.625" style="35" bestFit="1" customWidth="1"/>
    <col min="5" max="5" width="10.875" style="35" bestFit="1" customWidth="1"/>
    <col min="6" max="6" width="9.125" style="35" customWidth="1"/>
    <col min="7" max="7" width="9.125" style="35" hidden="1" customWidth="1"/>
    <col min="8" max="16384" width="9.125" style="35" customWidth="1"/>
  </cols>
  <sheetData>
    <row r="1" spans="1:7" ht="15">
      <c r="A1" s="415"/>
      <c r="B1" s="20" t="s">
        <v>327</v>
      </c>
      <c r="D1" s="415"/>
      <c r="F1" s="416"/>
      <c r="G1" s="41"/>
    </row>
    <row r="2" spans="1:7" ht="8.25" customHeight="1">
      <c r="A2" s="415"/>
      <c r="C2" s="415"/>
      <c r="D2" s="415"/>
      <c r="F2" s="416"/>
      <c r="G2" s="41"/>
    </row>
    <row r="3" spans="1:7" ht="15">
      <c r="A3" s="415"/>
      <c r="B3" s="20" t="s">
        <v>328</v>
      </c>
      <c r="C3" s="23">
        <v>34.7</v>
      </c>
      <c r="D3" s="22" t="s">
        <v>2</v>
      </c>
      <c r="F3" s="416"/>
      <c r="G3" s="41"/>
    </row>
    <row r="4" spans="1:7" ht="9" customHeight="1">
      <c r="A4" s="415"/>
      <c r="B4" s="22"/>
      <c r="C4" s="415"/>
      <c r="D4" s="415"/>
      <c r="F4" s="416"/>
      <c r="G4" s="41"/>
    </row>
    <row r="5" spans="1:7" ht="45.75" customHeight="1">
      <c r="A5" s="417" t="s">
        <v>62</v>
      </c>
      <c r="B5" s="417"/>
      <c r="C5" s="417"/>
      <c r="D5" s="417"/>
      <c r="F5" s="416"/>
      <c r="G5" s="41"/>
    </row>
    <row r="6" spans="1:7" ht="75">
      <c r="A6" s="45" t="s">
        <v>3</v>
      </c>
      <c r="B6" s="418" t="s">
        <v>4</v>
      </c>
      <c r="C6" s="439" t="s">
        <v>5</v>
      </c>
      <c r="D6" s="45" t="s">
        <v>6</v>
      </c>
      <c r="E6" s="45" t="s">
        <v>7</v>
      </c>
      <c r="F6" s="416"/>
      <c r="G6" s="41"/>
    </row>
    <row r="7" spans="1:7" ht="30" customHeight="1">
      <c r="A7" s="418"/>
      <c r="B7" s="424" t="s">
        <v>329</v>
      </c>
      <c r="C7" s="418"/>
      <c r="D7" s="434">
        <f>D8</f>
        <v>27.482400000000002</v>
      </c>
      <c r="E7" s="444">
        <f>E8</f>
        <v>0.066</v>
      </c>
      <c r="F7" s="416"/>
      <c r="G7" s="41"/>
    </row>
    <row r="8" spans="1:7" ht="65.25" customHeight="1">
      <c r="A8" s="418">
        <v>1</v>
      </c>
      <c r="B8" s="42" t="s">
        <v>330</v>
      </c>
      <c r="C8" s="54" t="s">
        <v>13</v>
      </c>
      <c r="D8" s="442">
        <f>E8*12*C3</f>
        <v>27.482400000000002</v>
      </c>
      <c r="E8" s="422">
        <v>0.066</v>
      </c>
      <c r="F8" s="416"/>
      <c r="G8" s="41"/>
    </row>
    <row r="9" spans="1:7" ht="15">
      <c r="A9" s="45"/>
      <c r="B9" s="420" t="s">
        <v>331</v>
      </c>
      <c r="C9" s="420"/>
      <c r="D9" s="434">
        <f>D10+D11</f>
        <v>590.8716000000001</v>
      </c>
      <c r="E9" s="444">
        <f>E10+E11</f>
        <v>1.419</v>
      </c>
      <c r="F9" s="416"/>
      <c r="G9" s="41"/>
    </row>
    <row r="10" spans="1:7" ht="15">
      <c r="A10" s="45">
        <v>2</v>
      </c>
      <c r="B10" s="42" t="s">
        <v>26</v>
      </c>
      <c r="C10" s="54" t="s">
        <v>27</v>
      </c>
      <c r="D10" s="433">
        <f>E10*C3*12</f>
        <v>540.4872</v>
      </c>
      <c r="E10" s="425">
        <v>1.298</v>
      </c>
      <c r="F10" s="416"/>
      <c r="G10" s="41"/>
    </row>
    <row r="11" spans="1:7" ht="30">
      <c r="A11" s="45">
        <v>3</v>
      </c>
      <c r="B11" s="42" t="s">
        <v>28</v>
      </c>
      <c r="C11" s="54" t="s">
        <v>29</v>
      </c>
      <c r="D11" s="433">
        <f>E11*C3*12</f>
        <v>50.38440000000001</v>
      </c>
      <c r="E11" s="425">
        <v>0.12100000000000001</v>
      </c>
      <c r="F11" s="416"/>
      <c r="G11" s="41"/>
    </row>
    <row r="12" spans="1:7" ht="15">
      <c r="A12" s="45"/>
      <c r="B12" s="420" t="s">
        <v>332</v>
      </c>
      <c r="C12" s="420"/>
      <c r="D12" s="434">
        <f>D13+D14</f>
        <v>219.8592</v>
      </c>
      <c r="E12" s="444">
        <f>E13+E14</f>
        <v>0.528</v>
      </c>
      <c r="F12" s="416"/>
      <c r="G12" s="41"/>
    </row>
    <row r="13" spans="1:7" ht="60">
      <c r="A13" s="45">
        <v>4</v>
      </c>
      <c r="B13" s="42" t="s">
        <v>333</v>
      </c>
      <c r="C13" s="42" t="s">
        <v>13</v>
      </c>
      <c r="D13" s="433">
        <f>E13*12*C3</f>
        <v>13.741200000000001</v>
      </c>
      <c r="E13" s="425">
        <v>0.033</v>
      </c>
      <c r="F13" s="416"/>
      <c r="G13" s="41"/>
    </row>
    <row r="14" spans="1:7" ht="93.75" customHeight="1">
      <c r="A14" s="45">
        <v>5</v>
      </c>
      <c r="B14" s="42" t="s">
        <v>71</v>
      </c>
      <c r="C14" s="42" t="s">
        <v>334</v>
      </c>
      <c r="D14" s="433">
        <f>E14*12*C3</f>
        <v>206.118</v>
      </c>
      <c r="E14" s="425">
        <v>0.495</v>
      </c>
      <c r="F14" s="416"/>
      <c r="G14" s="41"/>
    </row>
    <row r="15" spans="1:7" ht="15">
      <c r="A15" s="45"/>
      <c r="B15" s="420" t="s">
        <v>335</v>
      </c>
      <c r="C15" s="420"/>
      <c r="D15" s="434">
        <f>D16</f>
        <v>159.14799999999997</v>
      </c>
      <c r="E15" s="444">
        <f>E16</f>
        <v>0.3821998078770412</v>
      </c>
      <c r="F15" s="416"/>
      <c r="G15" s="41"/>
    </row>
    <row r="16" spans="1:7" ht="15">
      <c r="A16" s="45">
        <v>6</v>
      </c>
      <c r="B16" s="42" t="s">
        <v>68</v>
      </c>
      <c r="C16" s="42" t="s">
        <v>31</v>
      </c>
      <c r="D16" s="433">
        <f>E16*12*C3</f>
        <v>159.14799999999997</v>
      </c>
      <c r="E16" s="425">
        <v>0.3821998078770412</v>
      </c>
      <c r="F16" s="416"/>
      <c r="G16" s="41"/>
    </row>
    <row r="17" spans="1:7" ht="15">
      <c r="A17" s="45"/>
      <c r="B17" s="424" t="s">
        <v>336</v>
      </c>
      <c r="C17" s="42"/>
      <c r="D17" s="434">
        <f>D18</f>
        <v>100.76880000000003</v>
      </c>
      <c r="E17" s="444">
        <f>E18</f>
        <v>0.24200000000000002</v>
      </c>
      <c r="F17" s="416"/>
      <c r="G17" s="41"/>
    </row>
    <row r="18" spans="1:7" ht="15">
      <c r="A18" s="45">
        <v>7</v>
      </c>
      <c r="B18" s="54" t="s">
        <v>78</v>
      </c>
      <c r="C18" s="54" t="s">
        <v>12</v>
      </c>
      <c r="D18" s="433">
        <f>E18*12*C3</f>
        <v>100.76880000000003</v>
      </c>
      <c r="E18" s="425">
        <v>0.24200000000000002</v>
      </c>
      <c r="F18" s="416"/>
      <c r="G18" s="41"/>
    </row>
    <row r="19" spans="1:7" ht="15">
      <c r="A19" s="418"/>
      <c r="B19" s="424" t="s">
        <v>36</v>
      </c>
      <c r="C19" s="424"/>
      <c r="D19" s="434">
        <f>D7+D9+D12+D15+D17</f>
        <v>1098.13</v>
      </c>
      <c r="E19" s="444">
        <f>E7+E9+E12+E15+E17</f>
        <v>2.637199807877041</v>
      </c>
      <c r="F19" s="416"/>
      <c r="G19" s="41"/>
    </row>
    <row r="20" spans="1:7" ht="15">
      <c r="A20" s="415"/>
      <c r="C20" s="415"/>
      <c r="D20" s="415"/>
      <c r="F20" s="416"/>
      <c r="G20" s="41"/>
    </row>
    <row r="21" spans="1:7" ht="105">
      <c r="A21" s="45" t="s">
        <v>3</v>
      </c>
      <c r="B21" s="45" t="s">
        <v>320</v>
      </c>
      <c r="C21" s="45" t="s">
        <v>37</v>
      </c>
      <c r="D21" s="45" t="s">
        <v>38</v>
      </c>
      <c r="E21" s="45" t="s">
        <v>39</v>
      </c>
      <c r="F21" s="45" t="s">
        <v>40</v>
      </c>
      <c r="G21" s="41"/>
    </row>
    <row r="22" spans="1:7" ht="15">
      <c r="A22" s="45">
        <v>1</v>
      </c>
      <c r="B22" s="42" t="s">
        <v>41</v>
      </c>
      <c r="C22" s="45" t="s">
        <v>337</v>
      </c>
      <c r="D22" s="418">
        <v>916.1</v>
      </c>
      <c r="E22" s="433">
        <f>D22/C3/12</f>
        <v>2.2000480307396733</v>
      </c>
      <c r="F22" s="45">
        <v>2</v>
      </c>
      <c r="G22" s="41"/>
    </row>
    <row r="23" spans="1:7" ht="15">
      <c r="A23" s="45"/>
      <c r="B23" s="424" t="s">
        <v>43</v>
      </c>
      <c r="C23" s="44"/>
      <c r="D23" s="428">
        <v>916.1</v>
      </c>
      <c r="E23" s="434">
        <v>2.2000480307396733</v>
      </c>
      <c r="F23" s="44">
        <v>2</v>
      </c>
      <c r="G23" s="41"/>
    </row>
    <row r="24" spans="1:7" ht="10.5" customHeight="1">
      <c r="A24" s="415"/>
      <c r="D24" s="415"/>
      <c r="F24" s="416"/>
      <c r="G24" s="41"/>
    </row>
    <row r="25" spans="1:7" ht="15">
      <c r="A25" s="446"/>
      <c r="B25" s="39" t="s">
        <v>338</v>
      </c>
      <c r="C25" s="447">
        <f>D19+D23</f>
        <v>2014.23</v>
      </c>
      <c r="D25" s="446"/>
      <c r="E25" s="446"/>
      <c r="F25" s="446"/>
      <c r="G25" s="448"/>
    </row>
    <row r="26" spans="1:7" ht="15">
      <c r="A26" s="446"/>
      <c r="B26" s="39" t="s">
        <v>339</v>
      </c>
      <c r="C26" s="447"/>
      <c r="D26" s="446"/>
      <c r="E26" s="446"/>
      <c r="F26" s="446"/>
      <c r="G26" s="448"/>
    </row>
    <row r="28" spans="2:3" ht="15">
      <c r="B28" s="22" t="s">
        <v>84</v>
      </c>
      <c r="C28" s="449">
        <f>E19+E23</f>
        <v>4.837247838616714</v>
      </c>
    </row>
    <row r="29" spans="2:3" ht="15">
      <c r="B29" s="22"/>
      <c r="C29" s="430"/>
    </row>
    <row r="30" spans="1:7" ht="31.5" customHeight="1">
      <c r="A30" s="287" t="s">
        <v>44</v>
      </c>
      <c r="B30" s="287"/>
      <c r="C30" s="287"/>
      <c r="D30" s="287"/>
      <c r="E30" s="287"/>
      <c r="F30" s="287"/>
      <c r="G30" s="41"/>
    </row>
    <row r="31" spans="1:7" ht="9.75" customHeight="1">
      <c r="A31" s="36"/>
      <c r="B31" s="36"/>
      <c r="C31" s="36"/>
      <c r="D31" s="36"/>
      <c r="E31" s="41"/>
      <c r="F31" s="41"/>
      <c r="G31" s="41"/>
    </row>
    <row r="32" spans="1:7" ht="42.75">
      <c r="A32" s="42"/>
      <c r="B32" s="258" t="s">
        <v>4</v>
      </c>
      <c r="C32" s="258" t="s">
        <v>45</v>
      </c>
      <c r="D32" s="258" t="s">
        <v>6</v>
      </c>
      <c r="E32" s="258" t="s">
        <v>46</v>
      </c>
      <c r="F32" s="41"/>
      <c r="G32" s="41"/>
    </row>
    <row r="33" spans="1:7" ht="15">
      <c r="A33" s="288" t="s">
        <v>47</v>
      </c>
      <c r="B33" s="288"/>
      <c r="C33" s="288"/>
      <c r="D33" s="288"/>
      <c r="E33" s="288"/>
      <c r="F33" s="41"/>
      <c r="G33" s="41"/>
    </row>
    <row r="34" spans="1:7" ht="30">
      <c r="A34" s="52" t="s">
        <v>73</v>
      </c>
      <c r="B34" s="88" t="s">
        <v>51</v>
      </c>
      <c r="C34" s="88" t="s">
        <v>90</v>
      </c>
      <c r="D34" s="431">
        <v>4.164000000000001</v>
      </c>
      <c r="E34" s="439">
        <v>0.01</v>
      </c>
      <c r="F34" s="41"/>
      <c r="G34" s="41"/>
    </row>
    <row r="35" spans="1:7" ht="15">
      <c r="A35" s="288" t="s">
        <v>53</v>
      </c>
      <c r="B35" s="288"/>
      <c r="C35" s="288"/>
      <c r="D35" s="288"/>
      <c r="E35" s="288"/>
      <c r="F35" s="41"/>
      <c r="G35" s="41"/>
    </row>
    <row r="36" spans="1:7" ht="15">
      <c r="A36" s="52" t="s">
        <v>75</v>
      </c>
      <c r="B36" s="123" t="s">
        <v>17</v>
      </c>
      <c r="C36" s="42" t="s">
        <v>90</v>
      </c>
      <c r="D36" s="431">
        <v>24.984</v>
      </c>
      <c r="E36" s="418">
        <v>0.06</v>
      </c>
      <c r="F36" s="41"/>
      <c r="G36" s="41"/>
    </row>
    <row r="37" spans="1:7" ht="26.25" customHeight="1">
      <c r="A37" s="415"/>
      <c r="D37" s="415"/>
      <c r="F37" s="416"/>
      <c r="G37" s="41"/>
    </row>
    <row r="38" spans="1:7" ht="15">
      <c r="A38" s="415"/>
      <c r="B38" s="20" t="s">
        <v>340</v>
      </c>
      <c r="C38" s="23">
        <v>48.2</v>
      </c>
      <c r="D38" s="22" t="s">
        <v>2</v>
      </c>
      <c r="F38" s="416"/>
      <c r="G38" s="41"/>
    </row>
    <row r="39" spans="1:7" ht="15">
      <c r="A39" s="415"/>
      <c r="B39" s="22"/>
      <c r="C39" s="415"/>
      <c r="D39" s="415"/>
      <c r="F39" s="416"/>
      <c r="G39" s="41"/>
    </row>
    <row r="40" spans="1:7" ht="48" customHeight="1">
      <c r="A40" s="417" t="s">
        <v>62</v>
      </c>
      <c r="B40" s="417"/>
      <c r="C40" s="417"/>
      <c r="D40" s="417"/>
      <c r="F40" s="416"/>
      <c r="G40" s="41"/>
    </row>
    <row r="41" spans="1:7" ht="75">
      <c r="A41" s="45" t="s">
        <v>3</v>
      </c>
      <c r="B41" s="418" t="s">
        <v>4</v>
      </c>
      <c r="C41" s="419" t="s">
        <v>5</v>
      </c>
      <c r="D41" s="45" t="s">
        <v>6</v>
      </c>
      <c r="E41" s="45" t="s">
        <v>7</v>
      </c>
      <c r="F41" s="416"/>
      <c r="G41" s="41"/>
    </row>
    <row r="42" spans="1:7" ht="27.75" customHeight="1">
      <c r="A42" s="418"/>
      <c r="B42" s="450" t="s">
        <v>329</v>
      </c>
      <c r="C42" s="451"/>
      <c r="D42" s="444">
        <f>D43</f>
        <v>44.53680000000001</v>
      </c>
      <c r="E42" s="444">
        <f>E43</f>
        <v>0.07700000000000001</v>
      </c>
      <c r="F42" s="416"/>
      <c r="G42" s="41"/>
    </row>
    <row r="43" spans="1:7" ht="60" customHeight="1">
      <c r="A43" s="418">
        <v>1</v>
      </c>
      <c r="B43" s="42" t="s">
        <v>341</v>
      </c>
      <c r="C43" s="54" t="s">
        <v>13</v>
      </c>
      <c r="D43" s="422">
        <f>E43*12*C38</f>
        <v>44.53680000000001</v>
      </c>
      <c r="E43" s="425">
        <v>0.07700000000000001</v>
      </c>
      <c r="F43" s="416"/>
      <c r="G43" s="41"/>
    </row>
    <row r="44" spans="1:7" ht="15">
      <c r="A44" s="45"/>
      <c r="B44" s="420" t="s">
        <v>331</v>
      </c>
      <c r="C44" s="420"/>
      <c r="D44" s="444">
        <f>D45+D46</f>
        <v>890.7360000000001</v>
      </c>
      <c r="E44" s="444">
        <f>E45+E46</f>
        <v>1.54</v>
      </c>
      <c r="F44" s="416"/>
      <c r="G44" s="41"/>
    </row>
    <row r="45" spans="1:7" ht="15">
      <c r="A45" s="45">
        <v>2</v>
      </c>
      <c r="B45" s="42" t="s">
        <v>26</v>
      </c>
      <c r="C45" s="54" t="s">
        <v>27</v>
      </c>
      <c r="D45" s="425">
        <f>E45*C38*12</f>
        <v>814.3872000000001</v>
      </c>
      <c r="E45" s="425">
        <v>1.4080000000000001</v>
      </c>
      <c r="F45" s="416"/>
      <c r="G45" s="41"/>
    </row>
    <row r="46" spans="1:7" ht="30">
      <c r="A46" s="45">
        <v>3</v>
      </c>
      <c r="B46" s="42" t="s">
        <v>28</v>
      </c>
      <c r="C46" s="54" t="s">
        <v>29</v>
      </c>
      <c r="D46" s="425">
        <f>E46*12*C38</f>
        <v>76.34880000000001</v>
      </c>
      <c r="E46" s="425">
        <v>0.132</v>
      </c>
      <c r="F46" s="416"/>
      <c r="G46" s="41"/>
    </row>
    <row r="47" spans="1:7" ht="15">
      <c r="A47" s="45"/>
      <c r="B47" s="420" t="s">
        <v>332</v>
      </c>
      <c r="C47" s="420"/>
      <c r="D47" s="444">
        <f>D48+D49</f>
        <v>311.7576000000001</v>
      </c>
      <c r="E47" s="444">
        <f>E48+E49</f>
        <v>0.539</v>
      </c>
      <c r="F47" s="416"/>
      <c r="G47" s="41"/>
    </row>
    <row r="48" spans="1:7" ht="60">
      <c r="A48" s="45">
        <v>4</v>
      </c>
      <c r="B48" s="42" t="s">
        <v>333</v>
      </c>
      <c r="C48" s="42" t="s">
        <v>13</v>
      </c>
      <c r="D48" s="425">
        <f>E48*12*C38</f>
        <v>12.724800000000002</v>
      </c>
      <c r="E48" s="425">
        <v>0.022000000000000002</v>
      </c>
      <c r="F48" s="416"/>
      <c r="G48" s="41"/>
    </row>
    <row r="49" spans="1:7" ht="76.5" customHeight="1">
      <c r="A49" s="45">
        <v>5</v>
      </c>
      <c r="B49" s="42" t="s">
        <v>71</v>
      </c>
      <c r="C49" s="42" t="s">
        <v>334</v>
      </c>
      <c r="D49" s="425">
        <f>E49*12*C38</f>
        <v>299.03280000000007</v>
      </c>
      <c r="E49" s="425">
        <v>0.517</v>
      </c>
      <c r="F49" s="416"/>
      <c r="G49" s="41"/>
    </row>
    <row r="50" spans="1:7" ht="15">
      <c r="A50" s="45"/>
      <c r="B50" s="420" t="s">
        <v>335</v>
      </c>
      <c r="C50" s="420"/>
      <c r="D50" s="444">
        <f>D51</f>
        <v>242.11440000000013</v>
      </c>
      <c r="E50" s="444">
        <f>E51</f>
        <v>0.41859336099585087</v>
      </c>
      <c r="F50" s="416"/>
      <c r="G50" s="41"/>
    </row>
    <row r="51" spans="1:7" ht="15">
      <c r="A51" s="45">
        <v>6</v>
      </c>
      <c r="B51" s="42" t="s">
        <v>68</v>
      </c>
      <c r="C51" s="42" t="s">
        <v>31</v>
      </c>
      <c r="D51" s="425">
        <f>E51*12*C38</f>
        <v>242.11440000000013</v>
      </c>
      <c r="E51" s="425">
        <v>0.41859336099585087</v>
      </c>
      <c r="F51" s="416"/>
      <c r="G51" s="41"/>
    </row>
    <row r="52" spans="1:7" ht="15">
      <c r="A52" s="45"/>
      <c r="B52" s="424" t="s">
        <v>336</v>
      </c>
      <c r="C52" s="42"/>
      <c r="D52" s="444">
        <f>D53</f>
        <v>146.33520000000004</v>
      </c>
      <c r="E52" s="444">
        <f>E53</f>
        <v>0.25300000000000006</v>
      </c>
      <c r="F52" s="416"/>
      <c r="G52" s="41"/>
    </row>
    <row r="53" spans="1:7" ht="15">
      <c r="A53" s="45">
        <v>7</v>
      </c>
      <c r="B53" s="54" t="s">
        <v>78</v>
      </c>
      <c r="C53" s="54" t="s">
        <v>12</v>
      </c>
      <c r="D53" s="425">
        <f>E53*12*C38</f>
        <v>146.33520000000004</v>
      </c>
      <c r="E53" s="425">
        <v>0.25300000000000006</v>
      </c>
      <c r="F53" s="416"/>
      <c r="G53" s="41"/>
    </row>
    <row r="54" spans="1:7" ht="15">
      <c r="A54" s="418"/>
      <c r="B54" s="424" t="s">
        <v>36</v>
      </c>
      <c r="C54" s="424"/>
      <c r="D54" s="444">
        <f>D42+D44+D47+D50+D52</f>
        <v>1635.4800000000002</v>
      </c>
      <c r="E54" s="444">
        <f>E42+E44+E47+E50+E52</f>
        <v>2.8275933609958512</v>
      </c>
      <c r="F54" s="416"/>
      <c r="G54" s="41"/>
    </row>
    <row r="55" spans="1:7" ht="15">
      <c r="A55" s="415"/>
      <c r="C55" s="415"/>
      <c r="D55" s="415"/>
      <c r="F55" s="416"/>
      <c r="G55" s="41"/>
    </row>
    <row r="56" spans="1:7" ht="105">
      <c r="A56" s="45" t="s">
        <v>3</v>
      </c>
      <c r="B56" s="45" t="s">
        <v>320</v>
      </c>
      <c r="C56" s="45" t="s">
        <v>37</v>
      </c>
      <c r="D56" s="45" t="s">
        <v>38</v>
      </c>
      <c r="E56" s="45" t="s">
        <v>39</v>
      </c>
      <c r="F56" s="45" t="s">
        <v>40</v>
      </c>
      <c r="G56" s="41"/>
    </row>
    <row r="57" spans="1:7" ht="15">
      <c r="A57" s="45">
        <v>1</v>
      </c>
      <c r="B57" s="42" t="s">
        <v>41</v>
      </c>
      <c r="C57" s="45" t="s">
        <v>342</v>
      </c>
      <c r="D57" s="418">
        <v>1272.48</v>
      </c>
      <c r="E57" s="452">
        <f>D57/12/C38</f>
        <v>2.2</v>
      </c>
      <c r="F57" s="45">
        <v>2</v>
      </c>
      <c r="G57" s="41"/>
    </row>
    <row r="58" spans="1:7" ht="15">
      <c r="A58" s="45"/>
      <c r="B58" s="424" t="s">
        <v>43</v>
      </c>
      <c r="C58" s="44"/>
      <c r="D58" s="428">
        <v>1272.48</v>
      </c>
      <c r="E58" s="428">
        <v>2.2</v>
      </c>
      <c r="F58" s="44">
        <v>2</v>
      </c>
      <c r="G58" s="41"/>
    </row>
    <row r="59" spans="1:7" ht="15">
      <c r="A59" s="415"/>
      <c r="D59" s="415"/>
      <c r="F59" s="416"/>
      <c r="G59" s="41"/>
    </row>
    <row r="60" spans="1:7" ht="15">
      <c r="A60" s="446"/>
      <c r="B60" s="39" t="s">
        <v>338</v>
      </c>
      <c r="C60" s="447">
        <f>D54+D58</f>
        <v>2907.96</v>
      </c>
      <c r="D60" s="446"/>
      <c r="E60" s="446"/>
      <c r="F60" s="446"/>
      <c r="G60" s="41"/>
    </row>
    <row r="61" spans="1:7" ht="15">
      <c r="A61" s="446"/>
      <c r="B61" s="39" t="s">
        <v>339</v>
      </c>
      <c r="C61" s="447"/>
      <c r="D61" s="446"/>
      <c r="E61" s="446"/>
      <c r="F61" s="446"/>
      <c r="G61" s="41"/>
    </row>
    <row r="63" spans="2:3" ht="15">
      <c r="B63" s="22" t="s">
        <v>84</v>
      </c>
      <c r="C63" s="449">
        <f>E54+E58</f>
        <v>5.027593360995851</v>
      </c>
    </row>
    <row r="65" spans="1:7" ht="27" customHeight="1">
      <c r="A65" s="287" t="s">
        <v>44</v>
      </c>
      <c r="B65" s="287"/>
      <c r="C65" s="287"/>
      <c r="D65" s="287"/>
      <c r="E65" s="287"/>
      <c r="F65" s="287"/>
      <c r="G65" s="41"/>
    </row>
    <row r="66" spans="1:7" ht="15">
      <c r="A66" s="36"/>
      <c r="B66" s="36"/>
      <c r="C66" s="36"/>
      <c r="D66" s="36"/>
      <c r="E66" s="41"/>
      <c r="F66" s="41"/>
      <c r="G66" s="41"/>
    </row>
    <row r="67" spans="1:7" ht="42.75">
      <c r="A67" s="42"/>
      <c r="B67" s="258" t="s">
        <v>4</v>
      </c>
      <c r="C67" s="258" t="s">
        <v>45</v>
      </c>
      <c r="D67" s="258" t="s">
        <v>6</v>
      </c>
      <c r="E67" s="258" t="s">
        <v>46</v>
      </c>
      <c r="F67" s="41"/>
      <c r="G67" s="41"/>
    </row>
    <row r="68" spans="1:7" ht="15">
      <c r="A68" s="288" t="s">
        <v>47</v>
      </c>
      <c r="B68" s="288"/>
      <c r="C68" s="288"/>
      <c r="D68" s="288"/>
      <c r="E68" s="288"/>
      <c r="F68" s="41"/>
      <c r="G68" s="41"/>
    </row>
    <row r="69" spans="1:7" ht="30">
      <c r="A69" s="52" t="s">
        <v>73</v>
      </c>
      <c r="B69" s="88" t="s">
        <v>51</v>
      </c>
      <c r="C69" s="88" t="s">
        <v>90</v>
      </c>
      <c r="D69" s="431">
        <v>5.784000000000001</v>
      </c>
      <c r="E69" s="439">
        <v>0.01</v>
      </c>
      <c r="F69" s="41"/>
      <c r="G69" s="41"/>
    </row>
    <row r="70" spans="1:7" ht="15">
      <c r="A70" s="288" t="s">
        <v>53</v>
      </c>
      <c r="B70" s="288"/>
      <c r="C70" s="288"/>
      <c r="D70" s="288"/>
      <c r="E70" s="288"/>
      <c r="F70" s="41"/>
      <c r="G70" s="41"/>
    </row>
    <row r="71" spans="1:7" ht="15">
      <c r="A71" s="52" t="s">
        <v>75</v>
      </c>
      <c r="B71" s="123" t="s">
        <v>17</v>
      </c>
      <c r="C71" s="42" t="s">
        <v>90</v>
      </c>
      <c r="D71" s="431">
        <v>34.704</v>
      </c>
      <c r="E71" s="418">
        <v>0.06</v>
      </c>
      <c r="F71" s="41"/>
      <c r="G71" s="41"/>
    </row>
    <row r="72" spans="1:7" ht="15">
      <c r="A72" s="415"/>
      <c r="D72" s="415"/>
      <c r="F72" s="416"/>
      <c r="G72" s="41"/>
    </row>
    <row r="73" spans="1:7" ht="8.25" customHeight="1">
      <c r="A73" s="415"/>
      <c r="C73" s="415"/>
      <c r="D73" s="415"/>
      <c r="F73" s="416"/>
      <c r="G73" s="41"/>
    </row>
    <row r="74" spans="1:7" ht="15">
      <c r="A74" s="415"/>
      <c r="B74" s="20" t="s">
        <v>343</v>
      </c>
      <c r="C74" s="23">
        <v>60.1</v>
      </c>
      <c r="D74" s="22" t="s">
        <v>2</v>
      </c>
      <c r="F74" s="416"/>
      <c r="G74" s="41"/>
    </row>
    <row r="75" spans="1:7" ht="15">
      <c r="A75" s="415"/>
      <c r="B75" s="22"/>
      <c r="C75" s="415"/>
      <c r="D75" s="415"/>
      <c r="F75" s="416"/>
      <c r="G75" s="41"/>
    </row>
    <row r="76" spans="1:7" ht="45.75" customHeight="1">
      <c r="A76" s="417" t="s">
        <v>62</v>
      </c>
      <c r="B76" s="417"/>
      <c r="C76" s="417"/>
      <c r="D76" s="417"/>
      <c r="F76" s="416"/>
      <c r="G76" s="41"/>
    </row>
    <row r="77" spans="1:7" ht="75">
      <c r="A77" s="45" t="s">
        <v>3</v>
      </c>
      <c r="B77" s="418" t="s">
        <v>4</v>
      </c>
      <c r="C77" s="439" t="s">
        <v>5</v>
      </c>
      <c r="D77" s="45" t="s">
        <v>6</v>
      </c>
      <c r="E77" s="45" t="s">
        <v>7</v>
      </c>
      <c r="F77" s="416"/>
      <c r="G77" s="41"/>
    </row>
    <row r="78" spans="1:7" ht="27.75" customHeight="1">
      <c r="A78" s="418"/>
      <c r="B78" s="44" t="s">
        <v>329</v>
      </c>
      <c r="C78" s="428"/>
      <c r="D78" s="444">
        <f>D79</f>
        <v>31.7328</v>
      </c>
      <c r="E78" s="444">
        <f>E79</f>
        <v>0.044000000000000004</v>
      </c>
      <c r="F78" s="416"/>
      <c r="G78" s="41"/>
    </row>
    <row r="79" spans="1:7" ht="60">
      <c r="A79" s="418">
        <v>1</v>
      </c>
      <c r="B79" s="42" t="s">
        <v>330</v>
      </c>
      <c r="C79" s="54" t="s">
        <v>13</v>
      </c>
      <c r="D79" s="425">
        <v>31.7328</v>
      </c>
      <c r="E79" s="425">
        <v>0.044000000000000004</v>
      </c>
      <c r="F79" s="416"/>
      <c r="G79" s="41"/>
    </row>
    <row r="80" spans="1:7" ht="15">
      <c r="A80" s="45"/>
      <c r="B80" s="420" t="s">
        <v>331</v>
      </c>
      <c r="C80" s="420"/>
      <c r="D80" s="444">
        <f>D81+D82</f>
        <v>1189.98</v>
      </c>
      <c r="E80" s="444">
        <f>E81+E82</f>
        <v>1.6500000000000004</v>
      </c>
      <c r="F80" s="416"/>
      <c r="G80" s="41"/>
    </row>
    <row r="81" spans="1:7" ht="15">
      <c r="A81" s="45">
        <v>2</v>
      </c>
      <c r="B81" s="42" t="s">
        <v>26</v>
      </c>
      <c r="C81" s="54" t="s">
        <v>27</v>
      </c>
      <c r="D81" s="425">
        <v>1086.8484</v>
      </c>
      <c r="E81" s="425">
        <v>1.5070000000000003</v>
      </c>
      <c r="F81" s="416"/>
      <c r="G81" s="41"/>
    </row>
    <row r="82" spans="1:7" ht="30">
      <c r="A82" s="45">
        <v>3</v>
      </c>
      <c r="B82" s="42" t="s">
        <v>28</v>
      </c>
      <c r="C82" s="54" t="s">
        <v>29</v>
      </c>
      <c r="D82" s="425">
        <v>103.1316</v>
      </c>
      <c r="E82" s="425">
        <v>0.14300000000000002</v>
      </c>
      <c r="F82" s="416"/>
      <c r="G82" s="41"/>
    </row>
    <row r="83" spans="1:7" ht="15">
      <c r="A83" s="45"/>
      <c r="B83" s="420" t="s">
        <v>332</v>
      </c>
      <c r="C83" s="420"/>
      <c r="D83" s="444">
        <f>D84+D85</f>
        <v>245.92920000000004</v>
      </c>
      <c r="E83" s="444">
        <f>E84+E85</f>
        <v>0.341</v>
      </c>
      <c r="F83" s="416"/>
      <c r="G83" s="41"/>
    </row>
    <row r="84" spans="1:7" ht="60">
      <c r="A84" s="45">
        <v>4</v>
      </c>
      <c r="B84" s="42" t="s">
        <v>333</v>
      </c>
      <c r="C84" s="42" t="s">
        <v>13</v>
      </c>
      <c r="D84" s="425">
        <v>7.9332</v>
      </c>
      <c r="E84" s="425">
        <v>0.011000000000000001</v>
      </c>
      <c r="F84" s="416"/>
      <c r="G84" s="41"/>
    </row>
    <row r="85" spans="1:7" ht="90">
      <c r="A85" s="45">
        <v>5</v>
      </c>
      <c r="B85" s="42" t="s">
        <v>71</v>
      </c>
      <c r="C85" s="42" t="s">
        <v>334</v>
      </c>
      <c r="D85" s="425">
        <v>237.99600000000004</v>
      </c>
      <c r="E85" s="425">
        <v>0.33</v>
      </c>
      <c r="F85" s="416"/>
      <c r="G85" s="41"/>
    </row>
    <row r="86" spans="1:7" ht="15">
      <c r="A86" s="45"/>
      <c r="B86" s="420" t="s">
        <v>335</v>
      </c>
      <c r="C86" s="420"/>
      <c r="D86" s="444">
        <f>D87</f>
        <v>157.223</v>
      </c>
      <c r="E86" s="444">
        <f>E87</f>
        <v>0.21800194120909563</v>
      </c>
      <c r="F86" s="416"/>
      <c r="G86" s="41"/>
    </row>
    <row r="87" spans="1:7" ht="15">
      <c r="A87" s="45">
        <v>6</v>
      </c>
      <c r="B87" s="42" t="s">
        <v>68</v>
      </c>
      <c r="C87" s="42" t="s">
        <v>31</v>
      </c>
      <c r="D87" s="425">
        <v>157.223</v>
      </c>
      <c r="E87" s="425">
        <v>0.21800194120909563</v>
      </c>
      <c r="F87" s="416"/>
      <c r="G87" s="41"/>
    </row>
    <row r="88" spans="1:7" ht="15">
      <c r="A88" s="45"/>
      <c r="B88" s="424" t="s">
        <v>336</v>
      </c>
      <c r="C88" s="424"/>
      <c r="D88" s="444">
        <f>D89</f>
        <v>198.33</v>
      </c>
      <c r="E88" s="444">
        <f>E89</f>
        <v>0.275</v>
      </c>
      <c r="F88" s="416"/>
      <c r="G88" s="41"/>
    </row>
    <row r="89" spans="1:7" ht="15">
      <c r="A89" s="45">
        <v>7</v>
      </c>
      <c r="B89" s="54" t="s">
        <v>78</v>
      </c>
      <c r="C89" s="54" t="s">
        <v>12</v>
      </c>
      <c r="D89" s="425">
        <v>198.33</v>
      </c>
      <c r="E89" s="425">
        <v>0.275</v>
      </c>
      <c r="F89" s="416"/>
      <c r="G89" s="41"/>
    </row>
    <row r="90" spans="1:7" ht="15">
      <c r="A90" s="418"/>
      <c r="B90" s="424" t="s">
        <v>36</v>
      </c>
      <c r="C90" s="424"/>
      <c r="D90" s="444">
        <f>D78+D80+D83+D86+D88</f>
        <v>1823.195</v>
      </c>
      <c r="E90" s="444">
        <f>E78+E80+E83+E86+E88</f>
        <v>2.528001941209096</v>
      </c>
      <c r="F90" s="416"/>
      <c r="G90" s="41"/>
    </row>
    <row r="91" spans="1:7" ht="15">
      <c r="A91" s="415"/>
      <c r="C91" s="415"/>
      <c r="D91" s="415"/>
      <c r="F91" s="416"/>
      <c r="G91" s="41"/>
    </row>
    <row r="92" spans="1:7" ht="105">
      <c r="A92" s="45" t="s">
        <v>3</v>
      </c>
      <c r="B92" s="45" t="s">
        <v>320</v>
      </c>
      <c r="C92" s="45" t="s">
        <v>37</v>
      </c>
      <c r="D92" s="45" t="s">
        <v>38</v>
      </c>
      <c r="E92" s="45" t="s">
        <v>39</v>
      </c>
      <c r="F92" s="45" t="s">
        <v>40</v>
      </c>
      <c r="G92" s="41"/>
    </row>
    <row r="93" spans="1:7" ht="15">
      <c r="A93" s="45">
        <v>1</v>
      </c>
      <c r="B93" s="42" t="s">
        <v>41</v>
      </c>
      <c r="C93" s="45" t="s">
        <v>344</v>
      </c>
      <c r="D93" s="418">
        <v>1586.6</v>
      </c>
      <c r="E93" s="452">
        <f>D93/12/C74</f>
        <v>2.1999445368829726</v>
      </c>
      <c r="F93" s="45">
        <v>2</v>
      </c>
      <c r="G93" s="41"/>
    </row>
    <row r="94" spans="1:7" ht="15">
      <c r="A94" s="45"/>
      <c r="B94" s="424" t="s">
        <v>43</v>
      </c>
      <c r="C94" s="44"/>
      <c r="D94" s="428">
        <v>1586.6</v>
      </c>
      <c r="E94" s="453">
        <f>E93</f>
        <v>2.1999445368829726</v>
      </c>
      <c r="F94" s="44">
        <v>2</v>
      </c>
      <c r="G94" s="41"/>
    </row>
    <row r="95" spans="1:7" ht="15">
      <c r="A95" s="415"/>
      <c r="D95" s="415"/>
      <c r="F95" s="416"/>
      <c r="G95" s="41"/>
    </row>
    <row r="96" spans="1:7" ht="15">
      <c r="A96" s="446"/>
      <c r="B96" s="39" t="s">
        <v>338</v>
      </c>
      <c r="C96" s="447">
        <f>D90+D94</f>
        <v>3409.795</v>
      </c>
      <c r="D96" s="446"/>
      <c r="E96" s="446"/>
      <c r="F96" s="446"/>
      <c r="G96" s="41"/>
    </row>
    <row r="97" spans="1:7" ht="15">
      <c r="A97" s="446"/>
      <c r="B97" s="39" t="s">
        <v>339</v>
      </c>
      <c r="C97" s="447"/>
      <c r="D97" s="446"/>
      <c r="E97" s="446"/>
      <c r="F97" s="446"/>
      <c r="G97" s="41"/>
    </row>
    <row r="98" ht="14.25" customHeight="1">
      <c r="B98" s="41" t="s">
        <v>345</v>
      </c>
    </row>
    <row r="99" spans="2:3" ht="15">
      <c r="B99" s="22" t="s">
        <v>84</v>
      </c>
      <c r="C99" s="449">
        <f>E90+E94</f>
        <v>4.727946478092068</v>
      </c>
    </row>
    <row r="100" spans="2:3" ht="21" customHeight="1">
      <c r="B100" s="22"/>
      <c r="C100" s="430"/>
    </row>
    <row r="101" spans="1:7" ht="32.25" customHeight="1">
      <c r="A101" s="287" t="s">
        <v>44</v>
      </c>
      <c r="B101" s="287"/>
      <c r="C101" s="287"/>
      <c r="D101" s="287"/>
      <c r="E101" s="287"/>
      <c r="F101" s="287"/>
      <c r="G101" s="41"/>
    </row>
    <row r="102" spans="1:7" ht="15">
      <c r="A102" s="36"/>
      <c r="B102" s="36"/>
      <c r="C102" s="36"/>
      <c r="D102" s="36"/>
      <c r="E102" s="41"/>
      <c r="F102" s="41"/>
      <c r="G102" s="41"/>
    </row>
    <row r="103" spans="1:7" ht="42.75">
      <c r="A103" s="42"/>
      <c r="B103" s="258" t="s">
        <v>4</v>
      </c>
      <c r="C103" s="258" t="s">
        <v>45</v>
      </c>
      <c r="D103" s="258" t="s">
        <v>6</v>
      </c>
      <c r="E103" s="258" t="s">
        <v>46</v>
      </c>
      <c r="F103" s="41"/>
      <c r="G103" s="41"/>
    </row>
    <row r="104" spans="1:7" ht="15">
      <c r="A104" s="288" t="s">
        <v>47</v>
      </c>
      <c r="B104" s="288"/>
      <c r="C104" s="288"/>
      <c r="D104" s="288"/>
      <c r="E104" s="288"/>
      <c r="F104" s="41"/>
      <c r="G104" s="41"/>
    </row>
    <row r="105" spans="1:7" ht="30">
      <c r="A105" s="52" t="s">
        <v>73</v>
      </c>
      <c r="B105" s="88" t="s">
        <v>51</v>
      </c>
      <c r="C105" s="88" t="s">
        <v>90</v>
      </c>
      <c r="D105" s="431">
        <v>7.212</v>
      </c>
      <c r="E105" s="439">
        <v>0.01</v>
      </c>
      <c r="F105" s="41"/>
      <c r="G105" s="41"/>
    </row>
    <row r="106" spans="1:7" ht="15">
      <c r="A106" s="288" t="s">
        <v>53</v>
      </c>
      <c r="B106" s="288"/>
      <c r="C106" s="288"/>
      <c r="D106" s="288"/>
      <c r="E106" s="288"/>
      <c r="F106" s="41"/>
      <c r="G106" s="41"/>
    </row>
    <row r="107" spans="1:7" ht="15">
      <c r="A107" s="52" t="s">
        <v>75</v>
      </c>
      <c r="B107" s="123" t="s">
        <v>17</v>
      </c>
      <c r="C107" s="42" t="s">
        <v>90</v>
      </c>
      <c r="D107" s="431">
        <v>43.272</v>
      </c>
      <c r="E107" s="418">
        <v>0.06</v>
      </c>
      <c r="F107" s="41"/>
      <c r="G107" s="41"/>
    </row>
    <row r="108" spans="1:7" ht="15">
      <c r="A108" s="415"/>
      <c r="D108" s="415"/>
      <c r="F108" s="416"/>
      <c r="G108" s="41"/>
    </row>
    <row r="109" spans="1:7" ht="3.75" customHeight="1">
      <c r="A109" s="415"/>
      <c r="C109" s="415"/>
      <c r="D109" s="415"/>
      <c r="F109" s="416"/>
      <c r="G109" s="41"/>
    </row>
    <row r="110" spans="1:6" ht="15">
      <c r="A110" s="415"/>
      <c r="B110" s="20" t="s">
        <v>346</v>
      </c>
      <c r="C110" s="23">
        <v>28.8</v>
      </c>
      <c r="D110" s="22" t="s">
        <v>82</v>
      </c>
      <c r="F110" s="416"/>
    </row>
    <row r="111" spans="1:6" ht="9.75" customHeight="1">
      <c r="A111" s="415"/>
      <c r="B111" s="22"/>
      <c r="C111" s="415"/>
      <c r="D111" s="415"/>
      <c r="F111" s="416"/>
    </row>
    <row r="112" spans="1:6" ht="50.25" customHeight="1">
      <c r="A112" s="417" t="s">
        <v>62</v>
      </c>
      <c r="B112" s="417"/>
      <c r="C112" s="417"/>
      <c r="D112" s="417"/>
      <c r="F112" s="416"/>
    </row>
    <row r="113" spans="1:6" ht="75">
      <c r="A113" s="45" t="s">
        <v>3</v>
      </c>
      <c r="B113" s="418" t="s">
        <v>4</v>
      </c>
      <c r="C113" s="439" t="s">
        <v>5</v>
      </c>
      <c r="D113" s="45" t="s">
        <v>6</v>
      </c>
      <c r="E113" s="45" t="s">
        <v>7</v>
      </c>
      <c r="F113" s="416"/>
    </row>
    <row r="114" spans="1:6" ht="28.5" customHeight="1">
      <c r="A114" s="418"/>
      <c r="B114" s="424" t="s">
        <v>329</v>
      </c>
      <c r="C114" s="428"/>
      <c r="D114" s="444">
        <f>D115</f>
        <v>30.412800000000004</v>
      </c>
      <c r="E114" s="444">
        <f>E115</f>
        <v>0.08800000000000001</v>
      </c>
      <c r="F114" s="416"/>
    </row>
    <row r="115" spans="1:6" ht="60.75" customHeight="1">
      <c r="A115" s="418">
        <v>1</v>
      </c>
      <c r="B115" s="42" t="s">
        <v>347</v>
      </c>
      <c r="C115" s="54" t="s">
        <v>13</v>
      </c>
      <c r="D115" s="425">
        <v>30.412800000000004</v>
      </c>
      <c r="E115" s="425">
        <v>0.08800000000000001</v>
      </c>
      <c r="F115" s="416"/>
    </row>
    <row r="116" spans="1:6" ht="15">
      <c r="A116" s="45"/>
      <c r="B116" s="420" t="s">
        <v>331</v>
      </c>
      <c r="C116" s="420"/>
      <c r="D116" s="444">
        <f>D117+D118</f>
        <v>444.7872000000001</v>
      </c>
      <c r="E116" s="444">
        <f>E117+E118</f>
        <v>1.2870000000000004</v>
      </c>
      <c r="F116" s="416"/>
    </row>
    <row r="117" spans="1:6" ht="15">
      <c r="A117" s="45">
        <v>2</v>
      </c>
      <c r="B117" s="42" t="s">
        <v>26</v>
      </c>
      <c r="C117" s="54" t="s">
        <v>27</v>
      </c>
      <c r="D117" s="425">
        <v>406.7712000000001</v>
      </c>
      <c r="E117" s="425">
        <v>1.1770000000000003</v>
      </c>
      <c r="F117" s="416"/>
    </row>
    <row r="118" spans="1:6" ht="30">
      <c r="A118" s="45">
        <v>3</v>
      </c>
      <c r="B118" s="42" t="s">
        <v>28</v>
      </c>
      <c r="C118" s="54" t="s">
        <v>29</v>
      </c>
      <c r="D118" s="425">
        <v>38.016000000000005</v>
      </c>
      <c r="E118" s="425">
        <v>0.11</v>
      </c>
      <c r="F118" s="416"/>
    </row>
    <row r="119" spans="1:6" ht="15">
      <c r="A119" s="45"/>
      <c r="B119" s="420" t="s">
        <v>332</v>
      </c>
      <c r="C119" s="420"/>
      <c r="D119" s="444">
        <f>D120+D121</f>
        <v>209.08800000000002</v>
      </c>
      <c r="E119" s="444">
        <f>E120+E121</f>
        <v>0.6050000000000001</v>
      </c>
      <c r="F119" s="416"/>
    </row>
    <row r="120" spans="1:6" ht="60">
      <c r="A120" s="45">
        <v>4</v>
      </c>
      <c r="B120" s="42" t="s">
        <v>333</v>
      </c>
      <c r="C120" s="42" t="s">
        <v>13</v>
      </c>
      <c r="D120" s="425">
        <v>11.404800000000002</v>
      </c>
      <c r="E120" s="425">
        <v>0.033</v>
      </c>
      <c r="F120" s="416"/>
    </row>
    <row r="121" spans="1:6" ht="80.25" customHeight="1">
      <c r="A121" s="45">
        <v>5</v>
      </c>
      <c r="B121" s="42" t="s">
        <v>71</v>
      </c>
      <c r="C121" s="42" t="s">
        <v>334</v>
      </c>
      <c r="D121" s="425">
        <v>197.68320000000003</v>
      </c>
      <c r="E121" s="425">
        <v>0.5720000000000001</v>
      </c>
      <c r="F121" s="416"/>
    </row>
    <row r="122" spans="1:6" ht="15">
      <c r="A122" s="45"/>
      <c r="B122" s="420" t="s">
        <v>335</v>
      </c>
      <c r="C122" s="420"/>
      <c r="D122" s="444">
        <f>D123</f>
        <v>155.40800000000002</v>
      </c>
      <c r="E122" s="444">
        <f>E123</f>
        <v>0.44967592592592576</v>
      </c>
      <c r="F122" s="416"/>
    </row>
    <row r="123" spans="1:6" ht="15">
      <c r="A123" s="45">
        <v>6</v>
      </c>
      <c r="B123" s="42" t="s">
        <v>68</v>
      </c>
      <c r="C123" s="42" t="s">
        <v>31</v>
      </c>
      <c r="D123" s="425">
        <v>155.40800000000002</v>
      </c>
      <c r="E123" s="425">
        <v>0.44967592592592576</v>
      </c>
      <c r="F123" s="416"/>
    </row>
    <row r="124" spans="1:6" ht="15">
      <c r="A124" s="45"/>
      <c r="B124" s="424" t="s">
        <v>336</v>
      </c>
      <c r="C124" s="424"/>
      <c r="D124" s="444">
        <f>D125</f>
        <v>76.03200000000001</v>
      </c>
      <c r="E124" s="444">
        <f>E125</f>
        <v>0.22</v>
      </c>
      <c r="F124" s="416"/>
    </row>
    <row r="125" spans="1:6" ht="15">
      <c r="A125" s="45">
        <v>7</v>
      </c>
      <c r="B125" s="54" t="s">
        <v>78</v>
      </c>
      <c r="C125" s="54" t="s">
        <v>12</v>
      </c>
      <c r="D125" s="425">
        <v>76.03200000000001</v>
      </c>
      <c r="E125" s="425">
        <v>0.22</v>
      </c>
      <c r="F125" s="416"/>
    </row>
    <row r="126" spans="1:6" ht="15">
      <c r="A126" s="418"/>
      <c r="B126" s="424" t="s">
        <v>36</v>
      </c>
      <c r="C126" s="424"/>
      <c r="D126" s="444">
        <f>D124+D122+D119+D116+D114</f>
        <v>915.7280000000001</v>
      </c>
      <c r="E126" s="444">
        <f>E124+E122+E119+E116+E114</f>
        <v>2.6496759259259264</v>
      </c>
      <c r="F126" s="416"/>
    </row>
    <row r="127" spans="1:6" ht="15">
      <c r="A127" s="415"/>
      <c r="C127" s="415"/>
      <c r="D127" s="415"/>
      <c r="F127" s="416"/>
    </row>
    <row r="128" spans="1:6" ht="105">
      <c r="A128" s="45" t="s">
        <v>3</v>
      </c>
      <c r="B128" s="45" t="s">
        <v>320</v>
      </c>
      <c r="C128" s="45" t="s">
        <v>37</v>
      </c>
      <c r="D128" s="45" t="s">
        <v>38</v>
      </c>
      <c r="E128" s="45" t="s">
        <v>39</v>
      </c>
      <c r="F128" s="45" t="s">
        <v>40</v>
      </c>
    </row>
    <row r="129" spans="1:6" ht="15">
      <c r="A129" s="45">
        <v>1</v>
      </c>
      <c r="B129" s="42" t="s">
        <v>41</v>
      </c>
      <c r="C129" s="45" t="s">
        <v>348</v>
      </c>
      <c r="D129" s="418">
        <v>760.32</v>
      </c>
      <c r="E129" s="418">
        <f>D129/12/C110</f>
        <v>2.2</v>
      </c>
      <c r="F129" s="45">
        <v>2</v>
      </c>
    </row>
    <row r="130" spans="1:6" ht="15">
      <c r="A130" s="45"/>
      <c r="B130" s="424" t="s">
        <v>43</v>
      </c>
      <c r="C130" s="44"/>
      <c r="D130" s="428">
        <v>760.32</v>
      </c>
      <c r="E130" s="428">
        <f>E129</f>
        <v>2.2</v>
      </c>
      <c r="F130" s="44">
        <v>2</v>
      </c>
    </row>
    <row r="131" spans="1:6" ht="12" customHeight="1">
      <c r="A131" s="415"/>
      <c r="D131" s="415"/>
      <c r="F131" s="416"/>
    </row>
    <row r="132" spans="1:6" ht="15">
      <c r="A132" s="446"/>
      <c r="B132" s="39" t="s">
        <v>338</v>
      </c>
      <c r="C132" s="447">
        <f>D126+D130</f>
        <v>1676.0480000000002</v>
      </c>
      <c r="D132" s="446"/>
      <c r="E132" s="446"/>
      <c r="F132" s="446"/>
    </row>
    <row r="133" spans="1:6" ht="15">
      <c r="A133" s="446"/>
      <c r="B133" s="39" t="s">
        <v>339</v>
      </c>
      <c r="C133" s="447"/>
      <c r="D133" s="446"/>
      <c r="E133" s="446"/>
      <c r="F133" s="446"/>
    </row>
    <row r="134" spans="1:6" ht="12" customHeight="1">
      <c r="A134" s="415"/>
      <c r="C134" s="415"/>
      <c r="D134" s="415"/>
      <c r="F134" s="416"/>
    </row>
    <row r="135" spans="2:3" ht="15">
      <c r="B135" s="22" t="s">
        <v>84</v>
      </c>
      <c r="C135" s="449">
        <f>E126+E130</f>
        <v>4.849675925925927</v>
      </c>
    </row>
    <row r="136" spans="2:3" ht="15">
      <c r="B136" s="22"/>
      <c r="C136" s="430"/>
    </row>
    <row r="137" spans="1:6" ht="30" customHeight="1">
      <c r="A137" s="287" t="s">
        <v>44</v>
      </c>
      <c r="B137" s="287"/>
      <c r="C137" s="287"/>
      <c r="D137" s="287"/>
      <c r="E137" s="287"/>
      <c r="F137" s="287"/>
    </row>
    <row r="138" spans="1:6" ht="15">
      <c r="A138" s="36"/>
      <c r="B138" s="36"/>
      <c r="C138" s="36"/>
      <c r="D138" s="36"/>
      <c r="E138" s="41"/>
      <c r="F138" s="41"/>
    </row>
    <row r="139" spans="1:6" ht="42.75">
      <c r="A139" s="42"/>
      <c r="B139" s="258" t="s">
        <v>4</v>
      </c>
      <c r="C139" s="258" t="s">
        <v>45</v>
      </c>
      <c r="D139" s="258" t="s">
        <v>6</v>
      </c>
      <c r="E139" s="258" t="s">
        <v>46</v>
      </c>
      <c r="F139" s="41"/>
    </row>
    <row r="140" spans="1:6" ht="15">
      <c r="A140" s="288" t="s">
        <v>47</v>
      </c>
      <c r="B140" s="288"/>
      <c r="C140" s="288"/>
      <c r="D140" s="288"/>
      <c r="E140" s="288"/>
      <c r="F140" s="41"/>
    </row>
    <row r="141" spans="1:6" ht="30">
      <c r="A141" s="52" t="s">
        <v>73</v>
      </c>
      <c r="B141" s="88" t="s">
        <v>51</v>
      </c>
      <c r="C141" s="88" t="s">
        <v>90</v>
      </c>
      <c r="D141" s="431">
        <v>3.4560000000000004</v>
      </c>
      <c r="E141" s="439">
        <v>0.01</v>
      </c>
      <c r="F141" s="41"/>
    </row>
    <row r="142" spans="1:6" ht="15">
      <c r="A142" s="288" t="s">
        <v>53</v>
      </c>
      <c r="B142" s="288"/>
      <c r="C142" s="288"/>
      <c r="D142" s="288"/>
      <c r="E142" s="288"/>
      <c r="F142" s="41"/>
    </row>
    <row r="143" spans="1:6" ht="15">
      <c r="A143" s="52" t="s">
        <v>75</v>
      </c>
      <c r="B143" s="123" t="s">
        <v>17</v>
      </c>
      <c r="C143" s="42" t="s">
        <v>90</v>
      </c>
      <c r="D143" s="431">
        <v>20.736</v>
      </c>
      <c r="E143" s="418">
        <v>0.06</v>
      </c>
      <c r="F143" s="41"/>
    </row>
    <row r="144" spans="1:6" ht="15">
      <c r="A144" s="415"/>
      <c r="D144" s="415"/>
      <c r="F144" s="416"/>
    </row>
    <row r="145" spans="1:6" ht="3.75" customHeight="1">
      <c r="A145" s="415"/>
      <c r="C145" s="415"/>
      <c r="D145" s="415"/>
      <c r="F145" s="416"/>
    </row>
    <row r="146" spans="2:3" ht="15">
      <c r="B146" s="39" t="s">
        <v>338</v>
      </c>
      <c r="C146" s="447">
        <f>C25+C60+C96+C132</f>
        <v>10008.033000000001</v>
      </c>
    </row>
    <row r="147" spans="2:3" ht="15.75" customHeight="1">
      <c r="B147" s="39" t="s">
        <v>349</v>
      </c>
      <c r="C147" s="287"/>
    </row>
  </sheetData>
  <mergeCells count="51">
    <mergeCell ref="F96:F97"/>
    <mergeCell ref="A96:A97"/>
    <mergeCell ref="C96:C97"/>
    <mergeCell ref="D96:D97"/>
    <mergeCell ref="E96:E97"/>
    <mergeCell ref="A76:D76"/>
    <mergeCell ref="B80:C80"/>
    <mergeCell ref="B83:C83"/>
    <mergeCell ref="B86:C86"/>
    <mergeCell ref="G25:G26"/>
    <mergeCell ref="A40:D40"/>
    <mergeCell ref="B44:C44"/>
    <mergeCell ref="B47:C47"/>
    <mergeCell ref="C25:C26"/>
    <mergeCell ref="D25:D26"/>
    <mergeCell ref="E25:E26"/>
    <mergeCell ref="F25:F26"/>
    <mergeCell ref="A35:E35"/>
    <mergeCell ref="B42:C42"/>
    <mergeCell ref="A68:E68"/>
    <mergeCell ref="A70:E70"/>
    <mergeCell ref="B9:C9"/>
    <mergeCell ref="B12:C12"/>
    <mergeCell ref="B15:C15"/>
    <mergeCell ref="A30:F30"/>
    <mergeCell ref="B50:C50"/>
    <mergeCell ref="A65:F65"/>
    <mergeCell ref="A25:A26"/>
    <mergeCell ref="A104:E104"/>
    <mergeCell ref="A106:E106"/>
    <mergeCell ref="A5:D5"/>
    <mergeCell ref="E60:E61"/>
    <mergeCell ref="A60:A61"/>
    <mergeCell ref="C60:C61"/>
    <mergeCell ref="D60:D61"/>
    <mergeCell ref="A101:F101"/>
    <mergeCell ref="F60:F61"/>
    <mergeCell ref="A33:E33"/>
    <mergeCell ref="F132:F133"/>
    <mergeCell ref="A112:D112"/>
    <mergeCell ref="B116:C116"/>
    <mergeCell ref="B119:C119"/>
    <mergeCell ref="B122:C122"/>
    <mergeCell ref="A132:A133"/>
    <mergeCell ref="C132:C133"/>
    <mergeCell ref="D132:D133"/>
    <mergeCell ref="E132:E133"/>
    <mergeCell ref="C146:C147"/>
    <mergeCell ref="A137:F137"/>
    <mergeCell ref="A140:E140"/>
    <mergeCell ref="A142:E142"/>
  </mergeCells>
  <printOptions horizontalCentered="1"/>
  <pageMargins left="0.3937007874015748" right="0.31496062992125984" top="0.31496062992125984" bottom="0.3149606299212598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86" sqref="B86:C86"/>
    </sheetView>
  </sheetViews>
  <sheetFormatPr defaultColWidth="9.00390625" defaultRowHeight="12.75"/>
  <cols>
    <col min="1" max="1" width="4.375" style="35" customWidth="1"/>
    <col min="2" max="2" width="46.75390625" style="35" customWidth="1"/>
    <col min="3" max="3" width="18.125" style="35" customWidth="1"/>
    <col min="4" max="4" width="10.875" style="35" customWidth="1"/>
    <col min="5" max="5" width="11.625" style="35" customWidth="1"/>
    <col min="6" max="16384" width="9.125" style="35" customWidth="1"/>
  </cols>
  <sheetData>
    <row r="1" spans="1:6" ht="15">
      <c r="A1" s="415"/>
      <c r="B1" s="20" t="s">
        <v>350</v>
      </c>
      <c r="D1" s="415"/>
      <c r="F1" s="416"/>
    </row>
    <row r="2" spans="1:6" ht="8.25" customHeight="1">
      <c r="A2" s="415"/>
      <c r="C2" s="415"/>
      <c r="D2" s="415"/>
      <c r="F2" s="416"/>
    </row>
    <row r="3" spans="1:6" ht="15">
      <c r="A3" s="415"/>
      <c r="B3" s="20" t="s">
        <v>351</v>
      </c>
      <c r="C3" s="23">
        <v>105.5</v>
      </c>
      <c r="D3" s="22" t="s">
        <v>2</v>
      </c>
      <c r="F3" s="416"/>
    </row>
    <row r="4" spans="1:6" ht="3" customHeight="1">
      <c r="A4" s="415"/>
      <c r="B4" s="22"/>
      <c r="C4" s="415"/>
      <c r="D4" s="415"/>
      <c r="F4" s="416"/>
    </row>
    <row r="5" spans="1:7" ht="45" customHeight="1">
      <c r="A5" s="417" t="s">
        <v>62</v>
      </c>
      <c r="B5" s="417"/>
      <c r="C5" s="417"/>
      <c r="D5" s="417"/>
      <c r="F5" s="416"/>
      <c r="G5" s="41"/>
    </row>
    <row r="6" spans="1:7" ht="75">
      <c r="A6" s="45" t="s">
        <v>3</v>
      </c>
      <c r="B6" s="418" t="s">
        <v>4</v>
      </c>
      <c r="C6" s="419" t="s">
        <v>5</v>
      </c>
      <c r="D6" s="45" t="s">
        <v>6</v>
      </c>
      <c r="E6" s="45" t="s">
        <v>7</v>
      </c>
      <c r="F6" s="416"/>
      <c r="G6" s="41"/>
    </row>
    <row r="7" spans="1:6" ht="18" customHeight="1">
      <c r="A7" s="418"/>
      <c r="B7" s="291" t="s">
        <v>329</v>
      </c>
      <c r="C7" s="260"/>
      <c r="D7" s="444">
        <f>D8</f>
        <v>41.778</v>
      </c>
      <c r="E7" s="444">
        <f>E8</f>
        <v>0.033</v>
      </c>
      <c r="F7" s="416"/>
    </row>
    <row r="8" spans="1:6" ht="63" customHeight="1">
      <c r="A8" s="418">
        <v>1</v>
      </c>
      <c r="B8" s="42" t="s">
        <v>330</v>
      </c>
      <c r="C8" s="54" t="s">
        <v>13</v>
      </c>
      <c r="D8" s="422">
        <f>E8*12*C3</f>
        <v>41.778</v>
      </c>
      <c r="E8" s="425">
        <v>0.033</v>
      </c>
      <c r="F8" s="416"/>
    </row>
    <row r="9" spans="1:6" ht="15">
      <c r="A9" s="45"/>
      <c r="B9" s="420" t="s">
        <v>331</v>
      </c>
      <c r="C9" s="420"/>
      <c r="D9" s="444">
        <f>D10+D11</f>
        <v>1183.71</v>
      </c>
      <c r="E9" s="444">
        <f>E10+E11</f>
        <v>0.935</v>
      </c>
      <c r="F9" s="416"/>
    </row>
    <row r="10" spans="1:6" ht="15">
      <c r="A10" s="45">
        <v>2</v>
      </c>
      <c r="B10" s="42" t="s">
        <v>26</v>
      </c>
      <c r="C10" s="54" t="s">
        <v>27</v>
      </c>
      <c r="D10" s="454">
        <f>E10*12*C3</f>
        <v>1086.228</v>
      </c>
      <c r="E10" s="425">
        <v>0.8580000000000001</v>
      </c>
      <c r="F10" s="416"/>
    </row>
    <row r="11" spans="1:6" ht="31.5" customHeight="1">
      <c r="A11" s="45">
        <v>3</v>
      </c>
      <c r="B11" s="42" t="s">
        <v>28</v>
      </c>
      <c r="C11" s="54" t="s">
        <v>29</v>
      </c>
      <c r="D11" s="422">
        <f>E11*12*C3</f>
        <v>97.48200000000001</v>
      </c>
      <c r="E11" s="425">
        <v>0.07700000000000001</v>
      </c>
      <c r="F11" s="416"/>
    </row>
    <row r="12" spans="1:6" ht="15">
      <c r="A12" s="45"/>
      <c r="B12" s="420" t="s">
        <v>332</v>
      </c>
      <c r="C12" s="420"/>
      <c r="D12" s="444">
        <f>D13+D14</f>
        <v>403.85400000000004</v>
      </c>
      <c r="E12" s="444">
        <f>E13+E14</f>
        <v>0.31900000000000006</v>
      </c>
      <c r="F12" s="416"/>
    </row>
    <row r="13" spans="1:6" ht="60">
      <c r="A13" s="45">
        <v>4</v>
      </c>
      <c r="B13" s="42" t="s">
        <v>333</v>
      </c>
      <c r="C13" s="42" t="s">
        <v>13</v>
      </c>
      <c r="D13" s="422">
        <f>E13*12*C3</f>
        <v>13.926</v>
      </c>
      <c r="E13" s="425">
        <v>0.011000000000000001</v>
      </c>
      <c r="F13" s="416"/>
    </row>
    <row r="14" spans="1:6" ht="77.25" customHeight="1">
      <c r="A14" s="45">
        <v>5</v>
      </c>
      <c r="B14" s="42" t="s">
        <v>71</v>
      </c>
      <c r="C14" s="42" t="s">
        <v>334</v>
      </c>
      <c r="D14" s="422">
        <f>E14*12*C3</f>
        <v>389.92800000000005</v>
      </c>
      <c r="E14" s="425">
        <v>0.30800000000000005</v>
      </c>
      <c r="F14" s="416"/>
    </row>
    <row r="15" spans="1:6" ht="15">
      <c r="A15" s="45"/>
      <c r="B15" s="420" t="s">
        <v>335</v>
      </c>
      <c r="C15" s="420"/>
      <c r="D15" s="444">
        <f>D16</f>
        <v>243.89200000000008</v>
      </c>
      <c r="E15" s="444">
        <f>E16</f>
        <v>0.19264770932069514</v>
      </c>
      <c r="F15" s="416"/>
    </row>
    <row r="16" spans="1:6" ht="15">
      <c r="A16" s="45">
        <v>6</v>
      </c>
      <c r="B16" s="42" t="s">
        <v>68</v>
      </c>
      <c r="C16" s="42" t="s">
        <v>31</v>
      </c>
      <c r="D16" s="422">
        <f>E16*12*C3</f>
        <v>243.89200000000008</v>
      </c>
      <c r="E16" s="425">
        <v>0.19264770932069514</v>
      </c>
      <c r="F16" s="416"/>
    </row>
    <row r="17" spans="1:6" ht="15">
      <c r="A17" s="45"/>
      <c r="B17" s="424" t="s">
        <v>336</v>
      </c>
      <c r="C17" s="424"/>
      <c r="D17" s="444">
        <f>D18</f>
        <v>194.96400000000003</v>
      </c>
      <c r="E17" s="444">
        <f>E18</f>
        <v>0.15400000000000003</v>
      </c>
      <c r="F17" s="416"/>
    </row>
    <row r="18" spans="1:5" ht="15">
      <c r="A18" s="45">
        <v>7</v>
      </c>
      <c r="B18" s="54" t="s">
        <v>78</v>
      </c>
      <c r="C18" s="54" t="s">
        <v>12</v>
      </c>
      <c r="D18" s="454">
        <f>E18*12*C3</f>
        <v>194.96400000000003</v>
      </c>
      <c r="E18" s="425">
        <v>0.15400000000000003</v>
      </c>
    </row>
    <row r="19" spans="1:6" ht="15">
      <c r="A19" s="418"/>
      <c r="B19" s="424" t="s">
        <v>36</v>
      </c>
      <c r="C19" s="424"/>
      <c r="D19" s="444">
        <f>D7+D9+D12+D15+D17</f>
        <v>2068.1980000000003</v>
      </c>
      <c r="E19" s="444">
        <f>E7+E9+E12+E15+E17</f>
        <v>1.6336477093206954</v>
      </c>
      <c r="F19" s="416"/>
    </row>
    <row r="20" spans="1:6" ht="15">
      <c r="A20" s="415"/>
      <c r="C20" s="415"/>
      <c r="D20" s="415"/>
      <c r="F20" s="416"/>
    </row>
    <row r="21" spans="1:6" ht="105">
      <c r="A21" s="45" t="s">
        <v>3</v>
      </c>
      <c r="B21" s="45" t="s">
        <v>320</v>
      </c>
      <c r="C21" s="45" t="s">
        <v>37</v>
      </c>
      <c r="D21" s="45" t="s">
        <v>38</v>
      </c>
      <c r="E21" s="45" t="s">
        <v>39</v>
      </c>
      <c r="F21" s="45" t="s">
        <v>40</v>
      </c>
    </row>
    <row r="22" spans="1:6" ht="15">
      <c r="A22" s="45">
        <v>1</v>
      </c>
      <c r="B22" s="42" t="s">
        <v>41</v>
      </c>
      <c r="C22" s="45" t="s">
        <v>352</v>
      </c>
      <c r="D22" s="433">
        <v>2785.2</v>
      </c>
      <c r="E22" s="433">
        <f>D22/12/C3</f>
        <v>2.1999999999999997</v>
      </c>
      <c r="F22" s="45">
        <v>2</v>
      </c>
    </row>
    <row r="23" spans="1:6" ht="15">
      <c r="A23" s="45"/>
      <c r="B23" s="424" t="s">
        <v>43</v>
      </c>
      <c r="C23" s="44"/>
      <c r="D23" s="434">
        <v>2785.2</v>
      </c>
      <c r="E23" s="434">
        <v>2.2</v>
      </c>
      <c r="F23" s="44">
        <v>2</v>
      </c>
    </row>
    <row r="24" spans="1:6" ht="15">
      <c r="A24" s="415"/>
      <c r="D24" s="415"/>
      <c r="F24" s="416"/>
    </row>
    <row r="25" spans="1:6" ht="15">
      <c r="A25" s="446"/>
      <c r="B25" s="39" t="s">
        <v>338</v>
      </c>
      <c r="C25" s="447">
        <f>D19+D23</f>
        <v>4853.398</v>
      </c>
      <c r="D25" s="446"/>
      <c r="E25" s="446"/>
      <c r="F25" s="446"/>
    </row>
    <row r="26" spans="1:6" ht="15">
      <c r="A26" s="446"/>
      <c r="B26" s="39" t="s">
        <v>339</v>
      </c>
      <c r="C26" s="447"/>
      <c r="D26" s="446"/>
      <c r="E26" s="446"/>
      <c r="F26" s="446"/>
    </row>
    <row r="28" spans="2:3" ht="15">
      <c r="B28" s="22" t="s">
        <v>84</v>
      </c>
      <c r="C28" s="449">
        <f>E19+E23</f>
        <v>3.8336477093206955</v>
      </c>
    </row>
    <row r="29" spans="2:3" ht="15">
      <c r="B29" s="22"/>
      <c r="C29" s="455"/>
    </row>
    <row r="30" spans="1:6" ht="30" customHeight="1">
      <c r="A30" s="287" t="s">
        <v>44</v>
      </c>
      <c r="B30" s="287"/>
      <c r="C30" s="287"/>
      <c r="D30" s="287"/>
      <c r="E30" s="287"/>
      <c r="F30" s="287"/>
    </row>
    <row r="31" spans="1:6" ht="15">
      <c r="A31" s="36"/>
      <c r="B31" s="36"/>
      <c r="C31" s="36"/>
      <c r="D31" s="36"/>
      <c r="E31" s="41"/>
      <c r="F31" s="41"/>
    </row>
    <row r="32" spans="1:6" ht="42.75">
      <c r="A32" s="42"/>
      <c r="B32" s="258" t="s">
        <v>4</v>
      </c>
      <c r="C32" s="258" t="s">
        <v>45</v>
      </c>
      <c r="D32" s="258" t="s">
        <v>6</v>
      </c>
      <c r="E32" s="258" t="s">
        <v>46</v>
      </c>
      <c r="F32" s="41"/>
    </row>
    <row r="33" spans="1:6" ht="15">
      <c r="A33" s="288" t="s">
        <v>47</v>
      </c>
      <c r="B33" s="288"/>
      <c r="C33" s="288"/>
      <c r="D33" s="288"/>
      <c r="E33" s="288"/>
      <c r="F33" s="41"/>
    </row>
    <row r="34" spans="1:6" ht="30">
      <c r="A34" s="52" t="s">
        <v>73</v>
      </c>
      <c r="B34" s="88" t="s">
        <v>51</v>
      </c>
      <c r="C34" s="88" t="s">
        <v>90</v>
      </c>
      <c r="D34" s="456">
        <v>12.66</v>
      </c>
      <c r="E34" s="439">
        <v>0.01</v>
      </c>
      <c r="F34" s="41"/>
    </row>
    <row r="35" spans="1:6" ht="30" customHeight="1">
      <c r="A35" s="288" t="s">
        <v>53</v>
      </c>
      <c r="B35" s="288"/>
      <c r="C35" s="288"/>
      <c r="D35" s="288"/>
      <c r="E35" s="288"/>
      <c r="F35" s="41"/>
    </row>
    <row r="36" spans="1:6" ht="15">
      <c r="A36" s="52" t="s">
        <v>75</v>
      </c>
      <c r="B36" s="123" t="s">
        <v>17</v>
      </c>
      <c r="C36" s="42" t="s">
        <v>90</v>
      </c>
      <c r="D36" s="456">
        <v>75.96</v>
      </c>
      <c r="E36" s="418">
        <v>0.06</v>
      </c>
      <c r="F36" s="41"/>
    </row>
    <row r="37" spans="1:6" ht="15">
      <c r="A37" s="415"/>
      <c r="D37" s="415"/>
      <c r="F37" s="416"/>
    </row>
    <row r="38" spans="1:6" ht="105">
      <c r="A38" s="45" t="s">
        <v>3</v>
      </c>
      <c r="B38" s="45" t="s">
        <v>320</v>
      </c>
      <c r="C38" s="45" t="s">
        <v>37</v>
      </c>
      <c r="D38" s="45" t="s">
        <v>38</v>
      </c>
      <c r="E38" s="45" t="s">
        <v>39</v>
      </c>
      <c r="F38" s="45" t="s">
        <v>40</v>
      </c>
    </row>
    <row r="39" spans="1:6" ht="15">
      <c r="A39" s="45">
        <v>1</v>
      </c>
      <c r="B39" s="42" t="s">
        <v>41</v>
      </c>
      <c r="C39" s="45" t="s">
        <v>353</v>
      </c>
      <c r="D39" s="418">
        <v>506.4</v>
      </c>
      <c r="E39" s="418">
        <v>0.4</v>
      </c>
      <c r="F39" s="45">
        <v>2</v>
      </c>
    </row>
    <row r="40" spans="1:6" ht="15">
      <c r="A40" s="45"/>
      <c r="B40" s="424" t="s">
        <v>43</v>
      </c>
      <c r="C40" s="44"/>
      <c r="D40" s="428">
        <v>506.4</v>
      </c>
      <c r="E40" s="428">
        <v>0.4</v>
      </c>
      <c r="F40" s="44">
        <v>2</v>
      </c>
    </row>
    <row r="41" spans="1:6" ht="15">
      <c r="A41" s="415"/>
      <c r="C41" s="415"/>
      <c r="D41" s="415"/>
      <c r="F41" s="416"/>
    </row>
    <row r="42" spans="1:6" ht="15">
      <c r="A42" s="446"/>
      <c r="B42" s="39" t="s">
        <v>338</v>
      </c>
      <c r="C42" s="447">
        <v>4853.4</v>
      </c>
      <c r="D42" s="446"/>
      <c r="E42" s="446"/>
      <c r="F42" s="446"/>
    </row>
    <row r="43" spans="1:6" ht="15">
      <c r="A43" s="446"/>
      <c r="B43" s="39" t="s">
        <v>354</v>
      </c>
      <c r="C43" s="447"/>
      <c r="D43" s="446"/>
      <c r="E43" s="446"/>
      <c r="F43" s="446"/>
    </row>
  </sheetData>
  <mergeCells count="18">
    <mergeCell ref="A5:D5"/>
    <mergeCell ref="A25:A26"/>
    <mergeCell ref="B9:C9"/>
    <mergeCell ref="B12:C12"/>
    <mergeCell ref="B15:C15"/>
    <mergeCell ref="B7:C7"/>
    <mergeCell ref="A30:F30"/>
    <mergeCell ref="C25:C26"/>
    <mergeCell ref="D25:D26"/>
    <mergeCell ref="E25:E26"/>
    <mergeCell ref="F25:F26"/>
    <mergeCell ref="F42:F43"/>
    <mergeCell ref="A33:E33"/>
    <mergeCell ref="A35:E35"/>
    <mergeCell ref="A42:A43"/>
    <mergeCell ref="C42:C43"/>
    <mergeCell ref="D42:D43"/>
    <mergeCell ref="E42:E43"/>
  </mergeCells>
  <printOptions horizontalCentered="1"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8"/>
  <sheetViews>
    <sheetView workbookViewId="0" topLeftCell="A196">
      <selection activeCell="B86" sqref="B86:C86"/>
    </sheetView>
  </sheetViews>
  <sheetFormatPr defaultColWidth="9.00390625" defaultRowHeight="12.75"/>
  <cols>
    <col min="1" max="1" width="4.00390625" style="35" customWidth="1"/>
    <col min="2" max="2" width="42.375" style="35" customWidth="1"/>
    <col min="3" max="3" width="20.875" style="35" customWidth="1"/>
    <col min="4" max="4" width="11.875" style="35" bestFit="1" customWidth="1"/>
    <col min="5" max="16384" width="9.125" style="35" customWidth="1"/>
  </cols>
  <sheetData>
    <row r="1" spans="1:6" ht="15">
      <c r="A1" s="415"/>
      <c r="B1" s="20" t="s">
        <v>355</v>
      </c>
      <c r="D1" s="415"/>
      <c r="F1" s="416"/>
    </row>
    <row r="2" spans="1:6" ht="5.25" customHeight="1">
      <c r="A2" s="415"/>
      <c r="C2" s="415"/>
      <c r="D2" s="415"/>
      <c r="F2" s="416"/>
    </row>
    <row r="3" spans="1:6" ht="15">
      <c r="A3" s="415"/>
      <c r="B3" s="20" t="s">
        <v>356</v>
      </c>
      <c r="C3" s="22">
        <v>81.2</v>
      </c>
      <c r="D3" s="22" t="s">
        <v>2</v>
      </c>
      <c r="F3" s="416"/>
    </row>
    <row r="4" spans="1:6" ht="10.5" customHeight="1">
      <c r="A4" s="415"/>
      <c r="B4" s="22"/>
      <c r="C4" s="415"/>
      <c r="D4" s="415"/>
      <c r="F4" s="416"/>
    </row>
    <row r="5" spans="1:6" ht="48.75" customHeight="1">
      <c r="A5" s="417" t="s">
        <v>62</v>
      </c>
      <c r="B5" s="417"/>
      <c r="C5" s="417"/>
      <c r="D5" s="417"/>
      <c r="F5" s="416"/>
    </row>
    <row r="6" spans="1:6" ht="90">
      <c r="A6" s="45" t="s">
        <v>3</v>
      </c>
      <c r="B6" s="418" t="s">
        <v>4</v>
      </c>
      <c r="C6" s="419" t="s">
        <v>5</v>
      </c>
      <c r="D6" s="45" t="s">
        <v>6</v>
      </c>
      <c r="E6" s="45" t="s">
        <v>7</v>
      </c>
      <c r="F6" s="416"/>
    </row>
    <row r="7" spans="1:6" ht="29.25" customHeight="1">
      <c r="A7" s="418"/>
      <c r="B7" s="291" t="s">
        <v>329</v>
      </c>
      <c r="C7" s="457"/>
      <c r="D7" s="444">
        <f>D8</f>
        <v>42.8736</v>
      </c>
      <c r="E7" s="444">
        <f>E8</f>
        <v>0.044000000000000004</v>
      </c>
      <c r="F7" s="416"/>
    </row>
    <row r="8" spans="1:6" ht="62.25" customHeight="1">
      <c r="A8" s="418">
        <v>1</v>
      </c>
      <c r="B8" s="42" t="s">
        <v>330</v>
      </c>
      <c r="C8" s="54" t="s">
        <v>13</v>
      </c>
      <c r="D8" s="425">
        <f>E8*12*C3</f>
        <v>42.8736</v>
      </c>
      <c r="E8" s="425">
        <v>0.044000000000000004</v>
      </c>
      <c r="F8" s="416"/>
    </row>
    <row r="9" spans="1:6" ht="15">
      <c r="A9" s="45"/>
      <c r="B9" s="420" t="s">
        <v>331</v>
      </c>
      <c r="C9" s="420"/>
      <c r="D9" s="444">
        <f>D11+D10</f>
        <v>1332.255314081901</v>
      </c>
      <c r="E9" s="444">
        <f>E11+E10</f>
        <v>1.3672570957326569</v>
      </c>
      <c r="F9" s="458"/>
    </row>
    <row r="10" spans="1:6" ht="15">
      <c r="A10" s="45">
        <v>2</v>
      </c>
      <c r="B10" s="42" t="s">
        <v>26</v>
      </c>
      <c r="C10" s="54" t="s">
        <v>27</v>
      </c>
      <c r="D10" s="425">
        <f>E10*12*C3</f>
        <v>1218.8978170923156</v>
      </c>
      <c r="E10" s="425">
        <v>1.2509214050619002</v>
      </c>
      <c r="F10" s="416"/>
    </row>
    <row r="11" spans="1:6" ht="30">
      <c r="A11" s="45">
        <v>3</v>
      </c>
      <c r="B11" s="42" t="s">
        <v>28</v>
      </c>
      <c r="C11" s="54" t="s">
        <v>29</v>
      </c>
      <c r="D11" s="425">
        <f>E11*12*C3</f>
        <v>113.35749698958536</v>
      </c>
      <c r="E11" s="425">
        <v>0.11633569067075672</v>
      </c>
      <c r="F11" s="416"/>
    </row>
    <row r="12" spans="1:6" ht="15">
      <c r="A12" s="45"/>
      <c r="B12" s="420" t="s">
        <v>332</v>
      </c>
      <c r="C12" s="420"/>
      <c r="D12" s="444">
        <f>D13+D14</f>
        <v>1736.3808</v>
      </c>
      <c r="E12" s="444">
        <f>E13+E14</f>
        <v>1.782</v>
      </c>
      <c r="F12" s="416"/>
    </row>
    <row r="13" spans="1:6" ht="75">
      <c r="A13" s="45">
        <v>4</v>
      </c>
      <c r="B13" s="42" t="s">
        <v>89</v>
      </c>
      <c r="C13" s="42" t="s">
        <v>13</v>
      </c>
      <c r="D13" s="425">
        <f>E13*12*C3</f>
        <v>203.64960000000002</v>
      </c>
      <c r="E13" s="425">
        <v>0.20900000000000002</v>
      </c>
      <c r="F13" s="416"/>
    </row>
    <row r="14" spans="1:6" ht="75" customHeight="1">
      <c r="A14" s="45">
        <v>5</v>
      </c>
      <c r="B14" s="42" t="s">
        <v>71</v>
      </c>
      <c r="C14" s="42" t="s">
        <v>357</v>
      </c>
      <c r="D14" s="425">
        <f>E14*12*C3</f>
        <v>1532.7312</v>
      </c>
      <c r="E14" s="425">
        <v>1.573</v>
      </c>
      <c r="F14" s="416"/>
    </row>
    <row r="15" spans="1:6" ht="15">
      <c r="A15" s="45"/>
      <c r="B15" s="420" t="s">
        <v>335</v>
      </c>
      <c r="C15" s="420"/>
      <c r="D15" s="444">
        <f>D16</f>
        <v>245.24368591809926</v>
      </c>
      <c r="E15" s="444">
        <f>E16</f>
        <v>0.2516868697845846</v>
      </c>
      <c r="F15" s="416"/>
    </row>
    <row r="16" spans="1:6" ht="15">
      <c r="A16" s="45">
        <v>6</v>
      </c>
      <c r="B16" s="42" t="s">
        <v>68</v>
      </c>
      <c r="C16" s="42" t="s">
        <v>31</v>
      </c>
      <c r="D16" s="425">
        <f>E16*C3*12</f>
        <v>245.24368591809926</v>
      </c>
      <c r="E16" s="425">
        <v>0.2516868697845846</v>
      </c>
      <c r="F16" s="416"/>
    </row>
    <row r="17" spans="1:6" ht="15">
      <c r="A17" s="45"/>
      <c r="B17" s="424" t="s">
        <v>336</v>
      </c>
      <c r="C17" s="424"/>
      <c r="D17" s="444">
        <f>D18</f>
        <v>42.8736</v>
      </c>
      <c r="E17" s="444">
        <f>E18</f>
        <v>0.044000000000000004</v>
      </c>
      <c r="F17" s="416"/>
    </row>
    <row r="18" spans="1:6" ht="45">
      <c r="A18" s="45">
        <v>7</v>
      </c>
      <c r="B18" s="54" t="s">
        <v>86</v>
      </c>
      <c r="C18" s="54" t="s">
        <v>12</v>
      </c>
      <c r="D18" s="425">
        <f>E18*12*C3</f>
        <v>42.8736</v>
      </c>
      <c r="E18" s="425">
        <v>0.044000000000000004</v>
      </c>
      <c r="F18" s="416"/>
    </row>
    <row r="19" spans="1:6" ht="15">
      <c r="A19" s="418"/>
      <c r="B19" s="424" t="s">
        <v>36</v>
      </c>
      <c r="C19" s="424"/>
      <c r="D19" s="459">
        <f>D7+D9+D12+D15+D17</f>
        <v>3399.627</v>
      </c>
      <c r="E19" s="444">
        <f>E7+E9+E12+E15+E17</f>
        <v>3.4889439655172416</v>
      </c>
      <c r="F19" s="416"/>
    </row>
    <row r="20" spans="1:6" ht="15">
      <c r="A20" s="415"/>
      <c r="C20" s="415"/>
      <c r="D20" s="415"/>
      <c r="F20" s="416"/>
    </row>
    <row r="21" spans="1:6" ht="105">
      <c r="A21" s="45" t="s">
        <v>3</v>
      </c>
      <c r="B21" s="45" t="s">
        <v>320</v>
      </c>
      <c r="C21" s="45" t="s">
        <v>37</v>
      </c>
      <c r="D21" s="45" t="s">
        <v>38</v>
      </c>
      <c r="E21" s="45" t="s">
        <v>39</v>
      </c>
      <c r="F21" s="45" t="s">
        <v>40</v>
      </c>
    </row>
    <row r="22" spans="1:6" ht="15">
      <c r="A22" s="45">
        <v>1</v>
      </c>
      <c r="B22" s="42" t="s">
        <v>41</v>
      </c>
      <c r="C22" s="45" t="s">
        <v>358</v>
      </c>
      <c r="D22" s="452">
        <v>2143.68</v>
      </c>
      <c r="E22" s="433">
        <f>D22/C3/12</f>
        <v>2.1999999999999997</v>
      </c>
      <c r="F22" s="45">
        <v>2</v>
      </c>
    </row>
    <row r="23" spans="1:6" ht="15">
      <c r="A23" s="45"/>
      <c r="B23" s="424" t="s">
        <v>43</v>
      </c>
      <c r="C23" s="44"/>
      <c r="D23" s="453">
        <f>D22</f>
        <v>2143.68</v>
      </c>
      <c r="E23" s="434">
        <f>E22</f>
        <v>2.1999999999999997</v>
      </c>
      <c r="F23" s="44"/>
    </row>
    <row r="24" spans="1:6" ht="11.25" customHeight="1">
      <c r="A24" s="415"/>
      <c r="D24" s="415"/>
      <c r="F24" s="416"/>
    </row>
    <row r="25" spans="1:6" ht="15">
      <c r="A25" s="446"/>
      <c r="B25" s="39" t="s">
        <v>338</v>
      </c>
      <c r="C25" s="447">
        <f>D19+D23</f>
        <v>5543.307</v>
      </c>
      <c r="D25" s="446"/>
      <c r="E25" s="446"/>
      <c r="F25" s="446"/>
    </row>
    <row r="26" spans="1:6" ht="15">
      <c r="A26" s="446"/>
      <c r="B26" s="39" t="s">
        <v>339</v>
      </c>
      <c r="C26" s="447"/>
      <c r="D26" s="446"/>
      <c r="E26" s="446"/>
      <c r="F26" s="446"/>
    </row>
    <row r="27" ht="8.25" customHeight="1"/>
    <row r="28" spans="2:3" ht="15">
      <c r="B28" s="22" t="s">
        <v>84</v>
      </c>
      <c r="C28" s="449">
        <f>E19+E23</f>
        <v>5.688943965517241</v>
      </c>
    </row>
    <row r="29" spans="2:3" ht="15">
      <c r="B29" s="22"/>
      <c r="C29" s="455"/>
    </row>
    <row r="30" spans="1:6" ht="27" customHeight="1">
      <c r="A30" s="287" t="s">
        <v>44</v>
      </c>
      <c r="B30" s="287"/>
      <c r="C30" s="287"/>
      <c r="D30" s="287"/>
      <c r="E30" s="287"/>
      <c r="F30" s="287"/>
    </row>
    <row r="31" spans="1:6" ht="15">
      <c r="A31" s="36"/>
      <c r="B31" s="36"/>
      <c r="C31" s="36"/>
      <c r="D31" s="36"/>
      <c r="E31" s="41"/>
      <c r="F31" s="41"/>
    </row>
    <row r="32" spans="1:6" ht="57">
      <c r="A32" s="42"/>
      <c r="B32" s="258" t="s">
        <v>4</v>
      </c>
      <c r="C32" s="258" t="s">
        <v>45</v>
      </c>
      <c r="D32" s="258" t="s">
        <v>6</v>
      </c>
      <c r="E32" s="258" t="s">
        <v>46</v>
      </c>
      <c r="F32" s="41"/>
    </row>
    <row r="33" spans="1:6" ht="15">
      <c r="A33" s="288" t="s">
        <v>47</v>
      </c>
      <c r="B33" s="288"/>
      <c r="C33" s="288"/>
      <c r="D33" s="288"/>
      <c r="E33" s="288"/>
      <c r="F33" s="41"/>
    </row>
    <row r="34" spans="1:6" ht="30">
      <c r="A34" s="52" t="s">
        <v>73</v>
      </c>
      <c r="B34" s="88" t="s">
        <v>51</v>
      </c>
      <c r="C34" s="88" t="s">
        <v>12</v>
      </c>
      <c r="D34" s="431">
        <f>E34*C3*12</f>
        <v>9.744</v>
      </c>
      <c r="E34" s="439">
        <v>0.01</v>
      </c>
      <c r="F34" s="41"/>
    </row>
    <row r="35" spans="1:6" ht="15">
      <c r="A35" s="288" t="s">
        <v>53</v>
      </c>
      <c r="B35" s="288"/>
      <c r="C35" s="288"/>
      <c r="D35" s="288"/>
      <c r="E35" s="288"/>
      <c r="F35" s="41"/>
    </row>
    <row r="36" spans="1:6" ht="15">
      <c r="A36" s="52" t="s">
        <v>75</v>
      </c>
      <c r="B36" s="123" t="s">
        <v>17</v>
      </c>
      <c r="C36" s="42" t="s">
        <v>12</v>
      </c>
      <c r="D36" s="431">
        <f>E36*C3*12</f>
        <v>58.464</v>
      </c>
      <c r="E36" s="418">
        <v>0.06</v>
      </c>
      <c r="F36" s="41"/>
    </row>
    <row r="37" spans="1:6" ht="15">
      <c r="A37" s="460"/>
      <c r="B37" s="461"/>
      <c r="C37" s="73"/>
      <c r="D37" s="462"/>
      <c r="E37" s="463"/>
      <c r="F37" s="41"/>
    </row>
    <row r="38" spans="1:6" ht="15">
      <c r="A38" s="415"/>
      <c r="D38" s="415"/>
      <c r="F38" s="416"/>
    </row>
    <row r="39" spans="1:6" ht="105">
      <c r="A39" s="45" t="s">
        <v>3</v>
      </c>
      <c r="B39" s="45" t="s">
        <v>320</v>
      </c>
      <c r="C39" s="45" t="s">
        <v>37</v>
      </c>
      <c r="D39" s="45" t="s">
        <v>38</v>
      </c>
      <c r="E39" s="45" t="s">
        <v>39</v>
      </c>
      <c r="F39" s="45" t="s">
        <v>40</v>
      </c>
    </row>
    <row r="40" spans="1:6" ht="15">
      <c r="A40" s="45">
        <v>1</v>
      </c>
      <c r="B40" s="42" t="s">
        <v>41</v>
      </c>
      <c r="C40" s="45" t="s">
        <v>353</v>
      </c>
      <c r="D40" s="438">
        <v>500</v>
      </c>
      <c r="E40" s="433">
        <f>D40/C3/12</f>
        <v>0.513136288998358</v>
      </c>
      <c r="F40" s="45">
        <v>2</v>
      </c>
    </row>
    <row r="41" spans="1:6" ht="15">
      <c r="A41" s="45"/>
      <c r="B41" s="424" t="s">
        <v>43</v>
      </c>
      <c r="C41" s="44"/>
      <c r="D41" s="427">
        <f>D40</f>
        <v>500</v>
      </c>
      <c r="E41" s="434">
        <f>E40</f>
        <v>0.513136288998358</v>
      </c>
      <c r="F41" s="44"/>
    </row>
    <row r="42" spans="1:6" ht="15">
      <c r="A42" s="415"/>
      <c r="C42" s="415"/>
      <c r="D42" s="415"/>
      <c r="F42" s="416"/>
    </row>
    <row r="43" spans="1:6" ht="15">
      <c r="A43" s="415"/>
      <c r="B43" s="20" t="s">
        <v>359</v>
      </c>
      <c r="C43" s="23">
        <v>86.1</v>
      </c>
      <c r="D43" s="22" t="s">
        <v>82</v>
      </c>
      <c r="F43" s="416"/>
    </row>
    <row r="44" spans="1:6" ht="9" customHeight="1">
      <c r="A44" s="415"/>
      <c r="B44" s="22"/>
      <c r="C44" s="415"/>
      <c r="D44" s="415"/>
      <c r="F44" s="416"/>
    </row>
    <row r="45" spans="1:6" ht="43.5" customHeight="1">
      <c r="A45" s="417" t="s">
        <v>62</v>
      </c>
      <c r="B45" s="417"/>
      <c r="C45" s="417"/>
      <c r="D45" s="417"/>
      <c r="F45" s="416"/>
    </row>
    <row r="46" spans="1:6" ht="90">
      <c r="A46" s="45" t="s">
        <v>3</v>
      </c>
      <c r="B46" s="418" t="s">
        <v>4</v>
      </c>
      <c r="C46" s="419" t="s">
        <v>5</v>
      </c>
      <c r="D46" s="45" t="s">
        <v>6</v>
      </c>
      <c r="E46" s="45" t="s">
        <v>7</v>
      </c>
      <c r="F46" s="416"/>
    </row>
    <row r="47" spans="1:6" ht="30" customHeight="1">
      <c r="A47" s="418"/>
      <c r="B47" s="291" t="s">
        <v>329</v>
      </c>
      <c r="C47" s="457"/>
      <c r="D47" s="434">
        <f>D48</f>
        <v>34.0956</v>
      </c>
      <c r="E47" s="444">
        <f>E48</f>
        <v>0.033</v>
      </c>
      <c r="F47" s="416"/>
    </row>
    <row r="48" spans="1:6" ht="60.75" customHeight="1">
      <c r="A48" s="418">
        <v>1</v>
      </c>
      <c r="B48" s="42" t="s">
        <v>330</v>
      </c>
      <c r="C48" s="54" t="s">
        <v>13</v>
      </c>
      <c r="D48" s="442">
        <f>E48*12*C43</f>
        <v>34.0956</v>
      </c>
      <c r="E48" s="425">
        <v>0.033</v>
      </c>
      <c r="F48" s="416"/>
    </row>
    <row r="49" spans="1:6" ht="15">
      <c r="A49" s="45"/>
      <c r="B49" s="420" t="s">
        <v>331</v>
      </c>
      <c r="C49" s="420"/>
      <c r="D49" s="434">
        <f>D50+D51</f>
        <v>888.1702093879339</v>
      </c>
      <c r="E49" s="444">
        <f>E50+E51</f>
        <v>0.8596304775338114</v>
      </c>
      <c r="F49" s="464"/>
    </row>
    <row r="50" spans="1:6" ht="15">
      <c r="A50" s="45">
        <v>2</v>
      </c>
      <c r="B50" s="42" t="s">
        <v>26</v>
      </c>
      <c r="C50" s="54" t="s">
        <v>27</v>
      </c>
      <c r="D50" s="433">
        <f>E50*12*C43</f>
        <v>812.5985447282103</v>
      </c>
      <c r="E50" s="425">
        <v>0.7864871706622245</v>
      </c>
      <c r="F50" s="416"/>
    </row>
    <row r="51" spans="1:6" ht="30">
      <c r="A51" s="45">
        <v>3</v>
      </c>
      <c r="B51" s="42" t="s">
        <v>28</v>
      </c>
      <c r="C51" s="54" t="s">
        <v>29</v>
      </c>
      <c r="D51" s="433">
        <f>E51*12*C43</f>
        <v>75.57166465972358</v>
      </c>
      <c r="E51" s="425">
        <v>0.07314330687158689</v>
      </c>
      <c r="F51" s="416"/>
    </row>
    <row r="52" spans="1:6" ht="15">
      <c r="A52" s="45"/>
      <c r="B52" s="420" t="s">
        <v>332</v>
      </c>
      <c r="C52" s="420"/>
      <c r="D52" s="434">
        <f>D53+D54</f>
        <v>1636.5888</v>
      </c>
      <c r="E52" s="444">
        <f>E53+E54</f>
        <v>1.5840000000000003</v>
      </c>
      <c r="F52" s="416"/>
    </row>
    <row r="53" spans="1:6" ht="75">
      <c r="A53" s="45">
        <v>4</v>
      </c>
      <c r="B53" s="42" t="s">
        <v>89</v>
      </c>
      <c r="C53" s="42" t="s">
        <v>13</v>
      </c>
      <c r="D53" s="433">
        <f>E53*12*C43</f>
        <v>147.7476</v>
      </c>
      <c r="E53" s="425">
        <v>0.14300000000000002</v>
      </c>
      <c r="F53" s="416"/>
    </row>
    <row r="54" spans="1:6" ht="90">
      <c r="A54" s="45">
        <v>5</v>
      </c>
      <c r="B54" s="42" t="s">
        <v>71</v>
      </c>
      <c r="C54" s="42" t="s">
        <v>357</v>
      </c>
      <c r="D54" s="433">
        <f>E54*12*C43</f>
        <v>1488.8412</v>
      </c>
      <c r="E54" s="425">
        <v>1.4410000000000003</v>
      </c>
      <c r="F54" s="416"/>
    </row>
    <row r="55" spans="1:6" ht="15">
      <c r="A55" s="45"/>
      <c r="B55" s="420" t="s">
        <v>335</v>
      </c>
      <c r="C55" s="420"/>
      <c r="D55" s="434">
        <f>D56</f>
        <v>163.28679061206626</v>
      </c>
      <c r="E55" s="444">
        <f>E56</f>
        <v>0.15803986702677725</v>
      </c>
      <c r="F55" s="416"/>
    </row>
    <row r="56" spans="1:6" ht="15">
      <c r="A56" s="45">
        <v>6</v>
      </c>
      <c r="B56" s="42" t="s">
        <v>68</v>
      </c>
      <c r="C56" s="42" t="s">
        <v>31</v>
      </c>
      <c r="D56" s="433">
        <f>E56*12*C43</f>
        <v>163.28679061206626</v>
      </c>
      <c r="E56" s="425">
        <v>0.15803986702677725</v>
      </c>
      <c r="F56" s="416"/>
    </row>
    <row r="57" spans="1:6" ht="15">
      <c r="A57" s="45"/>
      <c r="B57" s="424" t="s">
        <v>336</v>
      </c>
      <c r="C57" s="424"/>
      <c r="D57" s="434">
        <f>D58</f>
        <v>34.0956</v>
      </c>
      <c r="E57" s="444">
        <f>E58</f>
        <v>0.033</v>
      </c>
      <c r="F57" s="416"/>
    </row>
    <row r="58" spans="1:6" ht="45">
      <c r="A58" s="45">
        <v>7</v>
      </c>
      <c r="B58" s="54" t="s">
        <v>86</v>
      </c>
      <c r="C58" s="54" t="s">
        <v>12</v>
      </c>
      <c r="D58" s="433">
        <f>E58*12*C43</f>
        <v>34.0956</v>
      </c>
      <c r="E58" s="425">
        <v>0.033</v>
      </c>
      <c r="F58" s="416"/>
    </row>
    <row r="59" spans="1:6" ht="15">
      <c r="A59" s="418"/>
      <c r="B59" s="424" t="s">
        <v>36</v>
      </c>
      <c r="C59" s="424"/>
      <c r="D59" s="427">
        <f>D47+D49+D52+D55+D57</f>
        <v>2756.2370000000005</v>
      </c>
      <c r="E59" s="444">
        <f>E47+E49+E52+E55+E57</f>
        <v>2.6676703445605887</v>
      </c>
      <c r="F59" s="416"/>
    </row>
    <row r="60" spans="1:6" ht="18" customHeight="1">
      <c r="A60" s="415"/>
      <c r="C60" s="415"/>
      <c r="D60" s="415"/>
      <c r="F60" s="416"/>
    </row>
    <row r="61" spans="1:6" ht="105">
      <c r="A61" s="45" t="s">
        <v>3</v>
      </c>
      <c r="B61" s="45" t="s">
        <v>320</v>
      </c>
      <c r="C61" s="45" t="s">
        <v>37</v>
      </c>
      <c r="D61" s="45" t="s">
        <v>38</v>
      </c>
      <c r="E61" s="45" t="s">
        <v>39</v>
      </c>
      <c r="F61" s="45" t="s">
        <v>40</v>
      </c>
    </row>
    <row r="62" spans="1:6" ht="15">
      <c r="A62" s="45">
        <v>1</v>
      </c>
      <c r="B62" s="42" t="s">
        <v>41</v>
      </c>
      <c r="C62" s="45" t="s">
        <v>360</v>
      </c>
      <c r="D62" s="438">
        <v>2273</v>
      </c>
      <c r="E62" s="433">
        <f>D62/12/C43</f>
        <v>2.199961285327139</v>
      </c>
      <c r="F62" s="45">
        <v>2</v>
      </c>
    </row>
    <row r="63" spans="1:6" ht="15">
      <c r="A63" s="45"/>
      <c r="B63" s="424" t="s">
        <v>43</v>
      </c>
      <c r="C63" s="44"/>
      <c r="D63" s="427">
        <f>D62</f>
        <v>2273</v>
      </c>
      <c r="E63" s="434">
        <f>E62</f>
        <v>2.199961285327139</v>
      </c>
      <c r="F63" s="44">
        <v>2</v>
      </c>
    </row>
    <row r="64" spans="1:6" ht="13.5" customHeight="1">
      <c r="A64" s="415"/>
      <c r="D64" s="415"/>
      <c r="F64" s="416"/>
    </row>
    <row r="65" spans="1:6" ht="15">
      <c r="A65" s="446"/>
      <c r="B65" s="39" t="s">
        <v>338</v>
      </c>
      <c r="C65" s="447">
        <f>D59+D63</f>
        <v>5029.237000000001</v>
      </c>
      <c r="D65" s="446"/>
      <c r="E65" s="446"/>
      <c r="F65" s="446"/>
    </row>
    <row r="66" spans="1:6" ht="15">
      <c r="A66" s="446"/>
      <c r="B66" s="39" t="s">
        <v>339</v>
      </c>
      <c r="C66" s="447"/>
      <c r="D66" s="446"/>
      <c r="E66" s="446"/>
      <c r="F66" s="446"/>
    </row>
    <row r="67" ht="17.25" customHeight="1"/>
    <row r="68" spans="2:3" ht="15">
      <c r="B68" s="22" t="s">
        <v>84</v>
      </c>
      <c r="C68" s="449">
        <f>E59+E63</f>
        <v>4.867631629887727</v>
      </c>
    </row>
    <row r="69" spans="2:3" ht="30" customHeight="1">
      <c r="B69" s="22"/>
      <c r="C69" s="23"/>
    </row>
    <row r="70" spans="1:6" ht="31.5" customHeight="1">
      <c r="A70" s="287" t="s">
        <v>44</v>
      </c>
      <c r="B70" s="287"/>
      <c r="C70" s="287"/>
      <c r="D70" s="287"/>
      <c r="E70" s="287"/>
      <c r="F70" s="287"/>
    </row>
    <row r="71" spans="1:6" ht="15">
      <c r="A71" s="36"/>
      <c r="B71" s="36"/>
      <c r="C71" s="36"/>
      <c r="D71" s="36"/>
      <c r="E71" s="41"/>
      <c r="F71" s="41"/>
    </row>
    <row r="72" spans="1:6" ht="57">
      <c r="A72" s="42"/>
      <c r="B72" s="258" t="s">
        <v>4</v>
      </c>
      <c r="C72" s="258" t="s">
        <v>45</v>
      </c>
      <c r="D72" s="258" t="s">
        <v>6</v>
      </c>
      <c r="E72" s="258" t="s">
        <v>46</v>
      </c>
      <c r="F72" s="41"/>
    </row>
    <row r="73" spans="1:6" ht="15">
      <c r="A73" s="288" t="s">
        <v>47</v>
      </c>
      <c r="B73" s="288"/>
      <c r="C73" s="288"/>
      <c r="D73" s="288"/>
      <c r="E73" s="288"/>
      <c r="F73" s="41"/>
    </row>
    <row r="74" spans="1:6" ht="30">
      <c r="A74" s="52" t="s">
        <v>73</v>
      </c>
      <c r="B74" s="88" t="s">
        <v>51</v>
      </c>
      <c r="C74" s="88" t="s">
        <v>12</v>
      </c>
      <c r="D74" s="431">
        <v>10.332</v>
      </c>
      <c r="E74" s="439">
        <v>0.01</v>
      </c>
      <c r="F74" s="41"/>
    </row>
    <row r="75" spans="1:6" ht="15">
      <c r="A75" s="288" t="s">
        <v>53</v>
      </c>
      <c r="B75" s="288"/>
      <c r="C75" s="288"/>
      <c r="D75" s="288"/>
      <c r="E75" s="288"/>
      <c r="F75" s="41"/>
    </row>
    <row r="76" spans="1:6" ht="15">
      <c r="A76" s="52" t="s">
        <v>75</v>
      </c>
      <c r="B76" s="123" t="s">
        <v>17</v>
      </c>
      <c r="C76" s="42" t="s">
        <v>12</v>
      </c>
      <c r="D76" s="431">
        <v>61.99199999999999</v>
      </c>
      <c r="E76" s="418">
        <v>0.06</v>
      </c>
      <c r="F76" s="41"/>
    </row>
    <row r="77" spans="1:6" ht="15">
      <c r="A77" s="415"/>
      <c r="D77" s="415"/>
      <c r="F77" s="416"/>
    </row>
    <row r="78" spans="1:6" ht="105">
      <c r="A78" s="45" t="s">
        <v>3</v>
      </c>
      <c r="B78" s="45" t="s">
        <v>320</v>
      </c>
      <c r="C78" s="45" t="s">
        <v>37</v>
      </c>
      <c r="D78" s="45" t="s">
        <v>38</v>
      </c>
      <c r="E78" s="45" t="s">
        <v>39</v>
      </c>
      <c r="F78" s="45" t="s">
        <v>40</v>
      </c>
    </row>
    <row r="79" spans="1:6" ht="15">
      <c r="A79" s="45">
        <v>1</v>
      </c>
      <c r="B79" s="42" t="s">
        <v>41</v>
      </c>
      <c r="C79" s="45" t="s">
        <v>361</v>
      </c>
      <c r="D79" s="433">
        <v>500</v>
      </c>
      <c r="E79" s="433">
        <f>D79/12/C43</f>
        <v>0.48393341076267904</v>
      </c>
      <c r="F79" s="45">
        <v>2</v>
      </c>
    </row>
    <row r="80" spans="1:6" ht="15">
      <c r="A80" s="45"/>
      <c r="B80" s="424" t="s">
        <v>43</v>
      </c>
      <c r="C80" s="44"/>
      <c r="D80" s="434">
        <f>D79</f>
        <v>500</v>
      </c>
      <c r="E80" s="434">
        <f>E79</f>
        <v>0.48393341076267904</v>
      </c>
      <c r="F80" s="44"/>
    </row>
    <row r="81" spans="1:6" ht="28.5" customHeight="1">
      <c r="A81" s="415"/>
      <c r="C81" s="415"/>
      <c r="D81" s="415"/>
      <c r="F81" s="416"/>
    </row>
    <row r="82" spans="1:6" ht="15">
      <c r="A82" s="415"/>
      <c r="B82" s="20" t="s">
        <v>362</v>
      </c>
      <c r="C82" s="23">
        <v>192.1</v>
      </c>
      <c r="D82" s="22" t="s">
        <v>2</v>
      </c>
      <c r="F82" s="416"/>
    </row>
    <row r="83" spans="1:6" ht="12.75" customHeight="1">
      <c r="A83" s="415"/>
      <c r="B83" s="22"/>
      <c r="C83" s="415"/>
      <c r="D83" s="415"/>
      <c r="F83" s="416"/>
    </row>
    <row r="84" spans="1:6" ht="32.25" customHeight="1">
      <c r="A84" s="465" t="s">
        <v>62</v>
      </c>
      <c r="B84" s="465"/>
      <c r="C84" s="465"/>
      <c r="D84" s="465"/>
      <c r="E84" s="466"/>
      <c r="F84" s="416"/>
    </row>
    <row r="85" spans="1:6" ht="90">
      <c r="A85" s="45" t="s">
        <v>3</v>
      </c>
      <c r="B85" s="418" t="s">
        <v>4</v>
      </c>
      <c r="C85" s="419" t="s">
        <v>5</v>
      </c>
      <c r="D85" s="45" t="s">
        <v>6</v>
      </c>
      <c r="E85" s="45" t="s">
        <v>7</v>
      </c>
      <c r="F85" s="416"/>
    </row>
    <row r="86" spans="1:6" ht="30.75" customHeight="1">
      <c r="A86" s="418"/>
      <c r="B86" s="291" t="s">
        <v>329</v>
      </c>
      <c r="C86" s="457"/>
      <c r="D86" s="444">
        <f>D87</f>
        <v>152.1432</v>
      </c>
      <c r="E86" s="444">
        <f>E87</f>
        <v>0.066</v>
      </c>
      <c r="F86" s="464"/>
    </row>
    <row r="87" spans="1:6" ht="60" customHeight="1">
      <c r="A87" s="418">
        <v>1</v>
      </c>
      <c r="B87" s="42" t="s">
        <v>330</v>
      </c>
      <c r="C87" s="42" t="s">
        <v>13</v>
      </c>
      <c r="D87" s="422">
        <f>E87*12*C82</f>
        <v>152.1432</v>
      </c>
      <c r="E87" s="425">
        <v>0.066</v>
      </c>
      <c r="F87" s="416"/>
    </row>
    <row r="88" spans="1:6" ht="15">
      <c r="A88" s="45"/>
      <c r="B88" s="420" t="s">
        <v>331</v>
      </c>
      <c r="C88" s="420"/>
      <c r="D88" s="444">
        <f>D89+D90</f>
        <v>3676.794000000001</v>
      </c>
      <c r="E88" s="444">
        <f>E89+E90</f>
        <v>1.5950000000000002</v>
      </c>
      <c r="F88" s="464"/>
    </row>
    <row r="89" spans="1:6" ht="15">
      <c r="A89" s="45">
        <v>2</v>
      </c>
      <c r="B89" s="42" t="s">
        <v>26</v>
      </c>
      <c r="C89" s="54" t="s">
        <v>27</v>
      </c>
      <c r="D89" s="425">
        <f>E89*12*C82</f>
        <v>3372.507600000001</v>
      </c>
      <c r="E89" s="425">
        <v>1.4630000000000003</v>
      </c>
      <c r="F89" s="416"/>
    </row>
    <row r="90" spans="1:6" ht="30">
      <c r="A90" s="45">
        <v>3</v>
      </c>
      <c r="B90" s="42" t="s">
        <v>28</v>
      </c>
      <c r="C90" s="54" t="s">
        <v>29</v>
      </c>
      <c r="D90" s="425">
        <f>E90*12*C82</f>
        <v>304.2864</v>
      </c>
      <c r="E90" s="425">
        <v>0.132</v>
      </c>
      <c r="F90" s="416"/>
    </row>
    <row r="91" spans="1:6" ht="15">
      <c r="A91" s="45"/>
      <c r="B91" s="420" t="s">
        <v>332</v>
      </c>
      <c r="C91" s="420"/>
      <c r="D91" s="444">
        <f>D92+D93</f>
        <v>3951.5036000000014</v>
      </c>
      <c r="E91" s="444">
        <f>E92+E93</f>
        <v>1.7141695297588069</v>
      </c>
      <c r="F91" s="416"/>
    </row>
    <row r="92" spans="1:6" ht="75">
      <c r="A92" s="45">
        <v>4</v>
      </c>
      <c r="B92" s="42" t="s">
        <v>89</v>
      </c>
      <c r="C92" s="42" t="s">
        <v>13</v>
      </c>
      <c r="D92" s="425">
        <f>E92*12*C82</f>
        <v>532.5012</v>
      </c>
      <c r="E92" s="425">
        <v>0.231</v>
      </c>
      <c r="F92" s="416"/>
    </row>
    <row r="93" spans="1:6" ht="90">
      <c r="A93" s="45">
        <v>5</v>
      </c>
      <c r="B93" s="42" t="s">
        <v>71</v>
      </c>
      <c r="C93" s="42" t="s">
        <v>357</v>
      </c>
      <c r="D93" s="425">
        <f>E93*12*C82</f>
        <v>3419.002400000001</v>
      </c>
      <c r="E93" s="425">
        <v>1.4831695297588068</v>
      </c>
      <c r="F93" s="416"/>
    </row>
    <row r="94" spans="1:6" ht="15">
      <c r="A94" s="45"/>
      <c r="B94" s="420" t="s">
        <v>335</v>
      </c>
      <c r="C94" s="420"/>
      <c r="D94" s="444">
        <f>D95</f>
        <v>811.4304</v>
      </c>
      <c r="E94" s="444">
        <f>E95</f>
        <v>0.35200000000000004</v>
      </c>
      <c r="F94" s="416"/>
    </row>
    <row r="95" spans="1:6" ht="15">
      <c r="A95" s="45">
        <v>6</v>
      </c>
      <c r="B95" s="42" t="s">
        <v>68</v>
      </c>
      <c r="C95" s="42" t="s">
        <v>31</v>
      </c>
      <c r="D95" s="425">
        <f>E95*12*C82</f>
        <v>811.4304</v>
      </c>
      <c r="E95" s="425">
        <v>0.35200000000000004</v>
      </c>
      <c r="F95" s="416"/>
    </row>
    <row r="96" spans="1:6" ht="15">
      <c r="A96" s="45"/>
      <c r="B96" s="424" t="s">
        <v>336</v>
      </c>
      <c r="C96" s="424"/>
      <c r="D96" s="444">
        <f>D97</f>
        <v>101.4288</v>
      </c>
      <c r="E96" s="444">
        <f>E97</f>
        <v>0.044000000000000004</v>
      </c>
      <c r="F96" s="416"/>
    </row>
    <row r="97" spans="1:6" ht="45">
      <c r="A97" s="45">
        <v>7</v>
      </c>
      <c r="B97" s="54" t="s">
        <v>86</v>
      </c>
      <c r="C97" s="54" t="s">
        <v>12</v>
      </c>
      <c r="D97" s="425">
        <f>E97*12*C82</f>
        <v>101.4288</v>
      </c>
      <c r="E97" s="425">
        <v>0.044000000000000004</v>
      </c>
      <c r="F97" s="416"/>
    </row>
    <row r="98" spans="1:6" ht="15">
      <c r="A98" s="418"/>
      <c r="B98" s="424" t="s">
        <v>36</v>
      </c>
      <c r="C98" s="424"/>
      <c r="D98" s="444">
        <f>D86+D88+D91+D94+D96</f>
        <v>8693.300000000001</v>
      </c>
      <c r="E98" s="444">
        <f>E86+E88+E91+E94+E96</f>
        <v>3.771169529758807</v>
      </c>
      <c r="F98" s="416"/>
    </row>
    <row r="99" spans="1:6" ht="15">
      <c r="A99" s="415"/>
      <c r="C99" s="415"/>
      <c r="D99" s="415"/>
      <c r="F99" s="416"/>
    </row>
    <row r="100" spans="1:6" ht="105">
      <c r="A100" s="45" t="s">
        <v>3</v>
      </c>
      <c r="B100" s="45" t="s">
        <v>320</v>
      </c>
      <c r="C100" s="45" t="s">
        <v>37</v>
      </c>
      <c r="D100" s="45" t="s">
        <v>38</v>
      </c>
      <c r="E100" s="45" t="s">
        <v>39</v>
      </c>
      <c r="F100" s="45" t="s">
        <v>40</v>
      </c>
    </row>
    <row r="101" spans="1:6" ht="15">
      <c r="A101" s="45">
        <v>1</v>
      </c>
      <c r="B101" s="42" t="s">
        <v>41</v>
      </c>
      <c r="C101" s="45" t="s">
        <v>363</v>
      </c>
      <c r="D101" s="433">
        <v>5071.44</v>
      </c>
      <c r="E101" s="433">
        <f>D101/12/C82</f>
        <v>2.1999999999999997</v>
      </c>
      <c r="F101" s="45">
        <v>2</v>
      </c>
    </row>
    <row r="102" spans="1:6" ht="15">
      <c r="A102" s="45"/>
      <c r="B102" s="424" t="s">
        <v>43</v>
      </c>
      <c r="C102" s="44"/>
      <c r="D102" s="434">
        <f>D101</f>
        <v>5071.44</v>
      </c>
      <c r="E102" s="434">
        <f>E101</f>
        <v>2.1999999999999997</v>
      </c>
      <c r="F102" s="44">
        <v>2</v>
      </c>
    </row>
    <row r="103" spans="1:6" ht="15">
      <c r="A103" s="415"/>
      <c r="D103" s="415"/>
      <c r="F103" s="416"/>
    </row>
    <row r="104" spans="1:6" ht="15">
      <c r="A104" s="446"/>
      <c r="B104" s="39" t="s">
        <v>338</v>
      </c>
      <c r="C104" s="447">
        <f>D98+D102</f>
        <v>13764.740000000002</v>
      </c>
      <c r="D104" s="446"/>
      <c r="E104" s="446"/>
      <c r="F104" s="446"/>
    </row>
    <row r="105" spans="1:6" ht="15">
      <c r="A105" s="446"/>
      <c r="B105" s="39" t="s">
        <v>339</v>
      </c>
      <c r="C105" s="447"/>
      <c r="D105" s="446"/>
      <c r="E105" s="446"/>
      <c r="F105" s="446"/>
    </row>
    <row r="106" ht="11.25" customHeight="1"/>
    <row r="107" spans="2:3" ht="15">
      <c r="B107" s="22" t="s">
        <v>84</v>
      </c>
      <c r="C107" s="449">
        <f>E102+E98</f>
        <v>5.971169529758807</v>
      </c>
    </row>
    <row r="108" spans="2:3" ht="12" customHeight="1">
      <c r="B108" s="22"/>
      <c r="C108" s="23"/>
    </row>
    <row r="109" spans="1:6" ht="30" customHeight="1">
      <c r="A109" s="287" t="s">
        <v>44</v>
      </c>
      <c r="B109" s="287"/>
      <c r="C109" s="287"/>
      <c r="D109" s="287"/>
      <c r="E109" s="287"/>
      <c r="F109" s="287"/>
    </row>
    <row r="110" spans="1:6" ht="15" customHeight="1">
      <c r="A110" s="36"/>
      <c r="B110" s="36"/>
      <c r="C110" s="36"/>
      <c r="D110" s="36"/>
      <c r="E110" s="41"/>
      <c r="F110" s="41"/>
    </row>
    <row r="111" spans="1:6" ht="57">
      <c r="A111" s="42"/>
      <c r="B111" s="258" t="s">
        <v>4</v>
      </c>
      <c r="C111" s="258" t="s">
        <v>45</v>
      </c>
      <c r="D111" s="258" t="s">
        <v>6</v>
      </c>
      <c r="E111" s="258" t="s">
        <v>46</v>
      </c>
      <c r="F111" s="41"/>
    </row>
    <row r="112" spans="1:6" ht="15">
      <c r="A112" s="288" t="s">
        <v>47</v>
      </c>
      <c r="B112" s="288"/>
      <c r="C112" s="288"/>
      <c r="D112" s="288"/>
      <c r="E112" s="288"/>
      <c r="F112" s="41"/>
    </row>
    <row r="113" spans="1:6" ht="30">
      <c r="A113" s="52" t="s">
        <v>73</v>
      </c>
      <c r="B113" s="88" t="s">
        <v>51</v>
      </c>
      <c r="C113" s="88" t="s">
        <v>12</v>
      </c>
      <c r="D113" s="431">
        <v>23.052</v>
      </c>
      <c r="E113" s="439">
        <v>0.01</v>
      </c>
      <c r="F113" s="41"/>
    </row>
    <row r="114" spans="1:6" ht="15">
      <c r="A114" s="288" t="s">
        <v>53</v>
      </c>
      <c r="B114" s="288"/>
      <c r="C114" s="288"/>
      <c r="D114" s="288"/>
      <c r="E114" s="288"/>
      <c r="F114" s="41"/>
    </row>
    <row r="115" spans="1:6" ht="15">
      <c r="A115" s="52" t="s">
        <v>75</v>
      </c>
      <c r="B115" s="123" t="s">
        <v>17</v>
      </c>
      <c r="C115" s="42" t="s">
        <v>12</v>
      </c>
      <c r="D115" s="431">
        <v>138.312</v>
      </c>
      <c r="E115" s="418">
        <v>0.06</v>
      </c>
      <c r="F115" s="41"/>
    </row>
    <row r="116" spans="1:6" ht="15">
      <c r="A116" s="415"/>
      <c r="D116" s="415"/>
      <c r="F116" s="416"/>
    </row>
    <row r="117" spans="1:6" ht="105">
      <c r="A117" s="45" t="s">
        <v>3</v>
      </c>
      <c r="B117" s="45" t="s">
        <v>320</v>
      </c>
      <c r="C117" s="45" t="s">
        <v>37</v>
      </c>
      <c r="D117" s="45" t="s">
        <v>38</v>
      </c>
      <c r="E117" s="45" t="s">
        <v>39</v>
      </c>
      <c r="F117" s="45" t="s">
        <v>40</v>
      </c>
    </row>
    <row r="118" spans="1:6" ht="15">
      <c r="A118" s="45">
        <v>1</v>
      </c>
      <c r="B118" s="42" t="s">
        <v>41</v>
      </c>
      <c r="C118" s="45" t="s">
        <v>364</v>
      </c>
      <c r="D118" s="438">
        <v>1000</v>
      </c>
      <c r="E118" s="433">
        <f>D118/C82/12</f>
        <v>0.4338018393197987</v>
      </c>
      <c r="F118" s="45">
        <v>2</v>
      </c>
    </row>
    <row r="119" spans="1:6" ht="15">
      <c r="A119" s="45"/>
      <c r="B119" s="424" t="s">
        <v>43</v>
      </c>
      <c r="C119" s="44"/>
      <c r="D119" s="427">
        <f>D118</f>
        <v>1000</v>
      </c>
      <c r="E119" s="434">
        <f>E118</f>
        <v>0.4338018393197987</v>
      </c>
      <c r="F119" s="44">
        <v>2</v>
      </c>
    </row>
    <row r="120" spans="1:6" ht="15">
      <c r="A120" s="415"/>
      <c r="C120" s="415"/>
      <c r="D120" s="415"/>
      <c r="F120" s="416"/>
    </row>
    <row r="121" spans="1:5" ht="15">
      <c r="A121" s="415"/>
      <c r="B121" s="20" t="s">
        <v>365</v>
      </c>
      <c r="C121" s="23">
        <v>49</v>
      </c>
      <c r="D121" s="22" t="s">
        <v>2</v>
      </c>
      <c r="E121" s="416"/>
    </row>
    <row r="122" spans="1:5" ht="10.5" customHeight="1">
      <c r="A122" s="415"/>
      <c r="B122" s="22"/>
      <c r="C122" s="415"/>
      <c r="E122" s="416"/>
    </row>
    <row r="123" spans="1:6" ht="33" customHeight="1">
      <c r="A123" s="465" t="s">
        <v>62</v>
      </c>
      <c r="B123" s="465"/>
      <c r="C123" s="465"/>
      <c r="D123" s="465"/>
      <c r="E123" s="467"/>
      <c r="F123" s="416"/>
    </row>
    <row r="124" spans="1:6" ht="90">
      <c r="A124" s="45" t="s">
        <v>3</v>
      </c>
      <c r="B124" s="418" t="s">
        <v>4</v>
      </c>
      <c r="C124" s="419" t="s">
        <v>5</v>
      </c>
      <c r="D124" s="45" t="s">
        <v>6</v>
      </c>
      <c r="E124" s="45" t="s">
        <v>7</v>
      </c>
      <c r="F124" s="416"/>
    </row>
    <row r="125" spans="1:6" ht="27" customHeight="1">
      <c r="A125" s="418"/>
      <c r="B125" s="468" t="s">
        <v>329</v>
      </c>
      <c r="C125" s="469"/>
      <c r="D125" s="444">
        <f>D126</f>
        <v>32.34</v>
      </c>
      <c r="E125" s="444">
        <f>E126</f>
        <v>0.055</v>
      </c>
      <c r="F125" s="22"/>
    </row>
    <row r="126" spans="1:6" ht="63" customHeight="1">
      <c r="A126" s="418">
        <v>1</v>
      </c>
      <c r="B126" s="42" t="s">
        <v>330</v>
      </c>
      <c r="C126" s="42" t="s">
        <v>13</v>
      </c>
      <c r="D126" s="422">
        <f>E126*12*C121</f>
        <v>32.34</v>
      </c>
      <c r="E126" s="470">
        <v>0.055</v>
      </c>
      <c r="F126" s="415"/>
    </row>
    <row r="127" spans="1:6" ht="15">
      <c r="A127" s="45"/>
      <c r="B127" s="420" t="s">
        <v>331</v>
      </c>
      <c r="C127" s="420"/>
      <c r="D127" s="444">
        <f>D128+D129</f>
        <v>1041.348</v>
      </c>
      <c r="E127" s="444">
        <f>E128+E129</f>
        <v>1.771</v>
      </c>
      <c r="F127" s="22"/>
    </row>
    <row r="128" spans="1:5" ht="15">
      <c r="A128" s="45">
        <v>2</v>
      </c>
      <c r="B128" s="42" t="s">
        <v>26</v>
      </c>
      <c r="C128" s="54" t="s">
        <v>27</v>
      </c>
      <c r="D128" s="425">
        <f>E128*12*C121</f>
        <v>950.796</v>
      </c>
      <c r="E128" s="470">
        <v>1.617</v>
      </c>
    </row>
    <row r="129" spans="1:5" ht="30">
      <c r="A129" s="45">
        <v>3</v>
      </c>
      <c r="B129" s="42" t="s">
        <v>28</v>
      </c>
      <c r="C129" s="54" t="s">
        <v>29</v>
      </c>
      <c r="D129" s="425">
        <f>E129*12*C121</f>
        <v>90.55200000000002</v>
      </c>
      <c r="E129" s="470">
        <v>0.15400000000000003</v>
      </c>
    </row>
    <row r="130" spans="1:5" ht="15">
      <c r="A130" s="45"/>
      <c r="B130" s="420" t="s">
        <v>332</v>
      </c>
      <c r="C130" s="420"/>
      <c r="D130" s="444">
        <f>D131+D132</f>
        <v>1033.9890000000005</v>
      </c>
      <c r="E130" s="444">
        <f>E131+E132</f>
        <v>1.7584846938775518</v>
      </c>
    </row>
    <row r="131" spans="1:5" ht="75">
      <c r="A131" s="45">
        <v>4</v>
      </c>
      <c r="B131" s="42" t="s">
        <v>89</v>
      </c>
      <c r="C131" s="42" t="s">
        <v>13</v>
      </c>
      <c r="D131" s="425">
        <f>E131*12*C121</f>
        <v>155.232</v>
      </c>
      <c r="E131" s="470">
        <v>0.264</v>
      </c>
    </row>
    <row r="132" spans="1:5" ht="90">
      <c r="A132" s="45">
        <v>5</v>
      </c>
      <c r="B132" s="42" t="s">
        <v>71</v>
      </c>
      <c r="C132" s="42" t="s">
        <v>357</v>
      </c>
      <c r="D132" s="425">
        <f>E132*12*C121</f>
        <v>878.7570000000004</v>
      </c>
      <c r="E132" s="470">
        <v>1.4944846938775518</v>
      </c>
    </row>
    <row r="133" spans="1:5" ht="15">
      <c r="A133" s="45"/>
      <c r="B133" s="420" t="s">
        <v>335</v>
      </c>
      <c r="C133" s="420"/>
      <c r="D133" s="444">
        <f>D134</f>
        <v>161.70000000000002</v>
      </c>
      <c r="E133" s="444">
        <f>E134</f>
        <v>0.275</v>
      </c>
    </row>
    <row r="134" spans="1:5" ht="15">
      <c r="A134" s="45">
        <v>6</v>
      </c>
      <c r="B134" s="42" t="s">
        <v>68</v>
      </c>
      <c r="C134" s="42" t="s">
        <v>31</v>
      </c>
      <c r="D134" s="425">
        <f>E134*12*C121</f>
        <v>161.70000000000002</v>
      </c>
      <c r="E134" s="470">
        <v>0.275</v>
      </c>
    </row>
    <row r="135" spans="1:5" ht="15">
      <c r="A135" s="45"/>
      <c r="B135" s="424" t="s">
        <v>336</v>
      </c>
      <c r="C135" s="424"/>
      <c r="D135" s="444">
        <f>D136</f>
        <v>25.872</v>
      </c>
      <c r="E135" s="444">
        <f>E136</f>
        <v>0.044000000000000004</v>
      </c>
    </row>
    <row r="136" spans="1:5" ht="45">
      <c r="A136" s="45">
        <v>7</v>
      </c>
      <c r="B136" s="54" t="s">
        <v>86</v>
      </c>
      <c r="C136" s="54" t="s">
        <v>12</v>
      </c>
      <c r="D136" s="425">
        <f>E136*C121*12</f>
        <v>25.872</v>
      </c>
      <c r="E136" s="470">
        <v>0.044000000000000004</v>
      </c>
    </row>
    <row r="137" spans="1:5" ht="15">
      <c r="A137" s="418"/>
      <c r="B137" s="424" t="s">
        <v>36</v>
      </c>
      <c r="C137" s="424"/>
      <c r="D137" s="444">
        <f>D125+D127+D130+D133+D135</f>
        <v>2295.2490000000003</v>
      </c>
      <c r="E137" s="444">
        <f>E125+E127+E130+E133+E135</f>
        <v>3.9034846938775516</v>
      </c>
    </row>
    <row r="138" spans="1:5" ht="21" customHeight="1">
      <c r="A138" s="415"/>
      <c r="C138" s="415"/>
      <c r="E138" s="416"/>
    </row>
    <row r="139" spans="1:6" ht="105">
      <c r="A139" s="45" t="s">
        <v>3</v>
      </c>
      <c r="B139" s="45" t="s">
        <v>320</v>
      </c>
      <c r="C139" s="45" t="s">
        <v>37</v>
      </c>
      <c r="D139" s="45" t="s">
        <v>38</v>
      </c>
      <c r="E139" s="45" t="s">
        <v>39</v>
      </c>
      <c r="F139" s="45" t="s">
        <v>40</v>
      </c>
    </row>
    <row r="140" spans="1:6" ht="15">
      <c r="A140" s="45">
        <v>1</v>
      </c>
      <c r="B140" s="42" t="s">
        <v>41</v>
      </c>
      <c r="C140" s="45" t="s">
        <v>366</v>
      </c>
      <c r="D140" s="433">
        <v>1293.6</v>
      </c>
      <c r="E140" s="433">
        <f>D140/12/C121</f>
        <v>2.1999999999999997</v>
      </c>
      <c r="F140" s="45">
        <v>2</v>
      </c>
    </row>
    <row r="141" spans="1:6" ht="15">
      <c r="A141" s="45"/>
      <c r="B141" s="424" t="s">
        <v>43</v>
      </c>
      <c r="C141" s="44"/>
      <c r="D141" s="434">
        <f>D140</f>
        <v>1293.6</v>
      </c>
      <c r="E141" s="434">
        <f>E140</f>
        <v>2.1999999999999997</v>
      </c>
      <c r="F141" s="44">
        <v>2</v>
      </c>
    </row>
    <row r="142" spans="1:6" ht="15" customHeight="1">
      <c r="A142" s="415"/>
      <c r="D142" s="415"/>
      <c r="F142" s="416"/>
    </row>
    <row r="143" spans="1:6" ht="15">
      <c r="A143" s="446"/>
      <c r="B143" s="39" t="s">
        <v>338</v>
      </c>
      <c r="C143" s="447">
        <f>D137+D141</f>
        <v>3588.849</v>
      </c>
      <c r="D143" s="446"/>
      <c r="E143" s="446"/>
      <c r="F143" s="446"/>
    </row>
    <row r="144" spans="1:6" ht="15">
      <c r="A144" s="446"/>
      <c r="B144" s="39" t="s">
        <v>339</v>
      </c>
      <c r="C144" s="447"/>
      <c r="D144" s="446"/>
      <c r="E144" s="446"/>
      <c r="F144" s="446"/>
    </row>
    <row r="145" ht="12.75" customHeight="1"/>
    <row r="146" spans="2:3" ht="15">
      <c r="B146" s="22" t="s">
        <v>84</v>
      </c>
      <c r="C146" s="449">
        <f>E137+E141</f>
        <v>6.103484693877551</v>
      </c>
    </row>
    <row r="147" spans="2:3" ht="12" customHeight="1">
      <c r="B147" s="22"/>
      <c r="C147" s="23"/>
    </row>
    <row r="148" spans="1:6" ht="36" customHeight="1">
      <c r="A148" s="287" t="s">
        <v>44</v>
      </c>
      <c r="B148" s="287"/>
      <c r="C148" s="287"/>
      <c r="D148" s="287"/>
      <c r="E148" s="287"/>
      <c r="F148" s="287"/>
    </row>
    <row r="149" spans="1:6" ht="10.5" customHeight="1">
      <c r="A149" s="36"/>
      <c r="B149" s="36"/>
      <c r="C149" s="36"/>
      <c r="D149" s="36"/>
      <c r="E149" s="41"/>
      <c r="F149" s="41"/>
    </row>
    <row r="150" spans="1:6" ht="57">
      <c r="A150" s="42"/>
      <c r="B150" s="258" t="s">
        <v>4</v>
      </c>
      <c r="C150" s="258" t="s">
        <v>45</v>
      </c>
      <c r="D150" s="258" t="s">
        <v>6</v>
      </c>
      <c r="E150" s="258" t="s">
        <v>46</v>
      </c>
      <c r="F150" s="41"/>
    </row>
    <row r="151" spans="1:6" ht="15">
      <c r="A151" s="288" t="s">
        <v>47</v>
      </c>
      <c r="B151" s="288"/>
      <c r="C151" s="288"/>
      <c r="D151" s="288"/>
      <c r="E151" s="288"/>
      <c r="F151" s="41"/>
    </row>
    <row r="152" spans="1:6" ht="30">
      <c r="A152" s="52" t="s">
        <v>73</v>
      </c>
      <c r="B152" s="88" t="s">
        <v>51</v>
      </c>
      <c r="C152" s="88" t="s">
        <v>12</v>
      </c>
      <c r="D152" s="456">
        <v>5.88</v>
      </c>
      <c r="E152" s="439">
        <v>0.01</v>
      </c>
      <c r="F152" s="41"/>
    </row>
    <row r="153" spans="1:6" ht="15">
      <c r="A153" s="288" t="s">
        <v>53</v>
      </c>
      <c r="B153" s="288"/>
      <c r="C153" s="288"/>
      <c r="D153" s="288"/>
      <c r="E153" s="288"/>
      <c r="F153" s="41"/>
    </row>
    <row r="154" spans="1:6" ht="15">
      <c r="A154" s="52" t="s">
        <v>75</v>
      </c>
      <c r="B154" s="123" t="s">
        <v>17</v>
      </c>
      <c r="C154" s="42" t="s">
        <v>12</v>
      </c>
      <c r="D154" s="456">
        <v>35.28</v>
      </c>
      <c r="E154" s="418">
        <v>0.06</v>
      </c>
      <c r="F154" s="41"/>
    </row>
    <row r="155" spans="1:6" ht="15">
      <c r="A155" s="415"/>
      <c r="D155" s="415"/>
      <c r="F155" s="416"/>
    </row>
    <row r="156" spans="1:6" ht="10.5" customHeight="1">
      <c r="A156" s="415"/>
      <c r="C156" s="415"/>
      <c r="D156" s="415"/>
      <c r="F156" s="416"/>
    </row>
    <row r="157" spans="1:6" ht="15">
      <c r="A157" s="415"/>
      <c r="B157" s="20" t="s">
        <v>367</v>
      </c>
      <c r="C157" s="23">
        <v>73.3</v>
      </c>
      <c r="D157" s="22" t="s">
        <v>2</v>
      </c>
      <c r="F157" s="416"/>
    </row>
    <row r="158" spans="1:6" ht="12.75" customHeight="1">
      <c r="A158" s="415"/>
      <c r="B158" s="22"/>
      <c r="C158" s="415"/>
      <c r="D158" s="415"/>
      <c r="F158" s="416"/>
    </row>
    <row r="159" spans="1:6" ht="49.5" customHeight="1">
      <c r="A159" s="417" t="s">
        <v>62</v>
      </c>
      <c r="B159" s="417"/>
      <c r="C159" s="417"/>
      <c r="D159" s="417"/>
      <c r="F159" s="416"/>
    </row>
    <row r="160" spans="1:6" ht="90">
      <c r="A160" s="45" t="s">
        <v>3</v>
      </c>
      <c r="B160" s="418" t="s">
        <v>4</v>
      </c>
      <c r="C160" s="439" t="s">
        <v>5</v>
      </c>
      <c r="D160" s="45" t="s">
        <v>6</v>
      </c>
      <c r="E160" s="45" t="s">
        <v>7</v>
      </c>
      <c r="F160" s="416"/>
    </row>
    <row r="161" spans="1:6" ht="32.25" customHeight="1">
      <c r="A161" s="418"/>
      <c r="B161" s="291" t="s">
        <v>329</v>
      </c>
      <c r="C161" s="457"/>
      <c r="D161" s="444">
        <f>D162</f>
        <v>77.4048</v>
      </c>
      <c r="E161" s="444">
        <f>E162</f>
        <v>0.08800000000000001</v>
      </c>
      <c r="F161" s="22"/>
    </row>
    <row r="162" spans="1:6" ht="66.75" customHeight="1">
      <c r="A162" s="418">
        <v>1</v>
      </c>
      <c r="B162" s="42" t="s">
        <v>368</v>
      </c>
      <c r="C162" s="42" t="s">
        <v>13</v>
      </c>
      <c r="D162" s="422">
        <f>E162*12*C157</f>
        <v>77.4048</v>
      </c>
      <c r="E162" s="425">
        <v>0.08800000000000001</v>
      </c>
      <c r="F162" s="416"/>
    </row>
    <row r="163" spans="1:6" ht="15">
      <c r="A163" s="45"/>
      <c r="B163" s="420" t="s">
        <v>331</v>
      </c>
      <c r="C163" s="420"/>
      <c r="D163" s="444">
        <f>D164+D165</f>
        <v>890.1552</v>
      </c>
      <c r="E163" s="444">
        <f>E164+E165</f>
        <v>1.012</v>
      </c>
      <c r="F163" s="416"/>
    </row>
    <row r="164" spans="1:6" ht="15">
      <c r="A164" s="45">
        <v>2</v>
      </c>
      <c r="B164" s="42" t="s">
        <v>26</v>
      </c>
      <c r="C164" s="54" t="s">
        <v>27</v>
      </c>
      <c r="D164" s="454">
        <f>E164*12*C157</f>
        <v>812.7504</v>
      </c>
      <c r="E164" s="425">
        <v>0.924</v>
      </c>
      <c r="F164" s="416"/>
    </row>
    <row r="165" spans="1:6" ht="30">
      <c r="A165" s="45">
        <v>3</v>
      </c>
      <c r="B165" s="42" t="s">
        <v>28</v>
      </c>
      <c r="C165" s="54" t="s">
        <v>29</v>
      </c>
      <c r="D165" s="422">
        <f>E165*12*C157</f>
        <v>77.4048</v>
      </c>
      <c r="E165" s="425">
        <v>0.08800000000000001</v>
      </c>
      <c r="F165" s="464"/>
    </row>
    <row r="166" spans="1:6" ht="15">
      <c r="A166" s="45"/>
      <c r="B166" s="420" t="s">
        <v>332</v>
      </c>
      <c r="C166" s="420"/>
      <c r="D166" s="444">
        <f>D167+D168</f>
        <v>1461.2620000000004</v>
      </c>
      <c r="E166" s="444">
        <f>E167+E168</f>
        <v>1.6612801273306053</v>
      </c>
      <c r="F166" s="416"/>
    </row>
    <row r="167" spans="1:6" ht="75">
      <c r="A167" s="45">
        <v>4</v>
      </c>
      <c r="B167" s="42" t="s">
        <v>89</v>
      </c>
      <c r="C167" s="42" t="s">
        <v>13</v>
      </c>
      <c r="D167" s="422">
        <f>E167*12*C157</f>
        <v>154.8096</v>
      </c>
      <c r="E167" s="425">
        <v>0.17600000000000002</v>
      </c>
      <c r="F167" s="416"/>
    </row>
    <row r="168" spans="1:6" ht="90">
      <c r="A168" s="45">
        <v>5</v>
      </c>
      <c r="B168" s="42" t="s">
        <v>71</v>
      </c>
      <c r="C168" s="42" t="s">
        <v>357</v>
      </c>
      <c r="D168" s="422">
        <f>E168*12*C157</f>
        <v>1306.4524000000004</v>
      </c>
      <c r="E168" s="425">
        <v>1.4852801273306053</v>
      </c>
      <c r="F168" s="416"/>
    </row>
    <row r="169" spans="1:6" ht="15">
      <c r="A169" s="45"/>
      <c r="B169" s="420" t="s">
        <v>335</v>
      </c>
      <c r="C169" s="420"/>
      <c r="D169" s="444">
        <f>D170</f>
        <v>164.48520000000002</v>
      </c>
      <c r="E169" s="444">
        <f>E170</f>
        <v>0.18700000000000003</v>
      </c>
      <c r="F169" s="416"/>
    </row>
    <row r="170" spans="1:6" ht="15">
      <c r="A170" s="45">
        <v>6</v>
      </c>
      <c r="B170" s="42" t="s">
        <v>68</v>
      </c>
      <c r="C170" s="42" t="s">
        <v>31</v>
      </c>
      <c r="D170" s="422">
        <f>E170*12*C157</f>
        <v>164.48520000000002</v>
      </c>
      <c r="E170" s="425">
        <v>0.18700000000000003</v>
      </c>
      <c r="F170" s="416"/>
    </row>
    <row r="171" spans="1:6" ht="15">
      <c r="A171" s="45"/>
      <c r="B171" s="424" t="s">
        <v>336</v>
      </c>
      <c r="C171" s="424"/>
      <c r="D171" s="444">
        <f>D172</f>
        <v>29.0268</v>
      </c>
      <c r="E171" s="444">
        <f>E172</f>
        <v>0.033</v>
      </c>
      <c r="F171" s="416"/>
    </row>
    <row r="172" spans="1:6" ht="45">
      <c r="A172" s="45">
        <v>7</v>
      </c>
      <c r="B172" s="54" t="s">
        <v>86</v>
      </c>
      <c r="C172" s="54" t="s">
        <v>12</v>
      </c>
      <c r="D172" s="454">
        <f>E172*12*C157</f>
        <v>29.0268</v>
      </c>
      <c r="E172" s="425">
        <v>0.033</v>
      </c>
      <c r="F172" s="416"/>
    </row>
    <row r="173" spans="1:6" ht="15">
      <c r="A173" s="418"/>
      <c r="B173" s="424" t="s">
        <v>36</v>
      </c>
      <c r="C173" s="424"/>
      <c r="D173" s="459">
        <f>D161+D163+D166+D169+D171</f>
        <v>2622.3340000000007</v>
      </c>
      <c r="E173" s="444">
        <f>E161+E163+E166+E169+E171</f>
        <v>2.981280127330605</v>
      </c>
      <c r="F173" s="416"/>
    </row>
    <row r="174" spans="1:6" ht="22.5" customHeight="1">
      <c r="A174" s="415"/>
      <c r="C174" s="415"/>
      <c r="D174" s="415"/>
      <c r="F174" s="416"/>
    </row>
    <row r="175" spans="1:6" ht="105">
      <c r="A175" s="45" t="s">
        <v>3</v>
      </c>
      <c r="B175" s="45" t="s">
        <v>320</v>
      </c>
      <c r="C175" s="45" t="s">
        <v>37</v>
      </c>
      <c r="D175" s="45" t="s">
        <v>38</v>
      </c>
      <c r="E175" s="45" t="s">
        <v>39</v>
      </c>
      <c r="F175" s="45" t="s">
        <v>40</v>
      </c>
    </row>
    <row r="176" spans="1:6" ht="15">
      <c r="A176" s="45">
        <v>1</v>
      </c>
      <c r="B176" s="42" t="s">
        <v>41</v>
      </c>
      <c r="C176" s="45" t="s">
        <v>369</v>
      </c>
      <c r="D176" s="452">
        <v>1935.12</v>
      </c>
      <c r="E176" s="433">
        <f>D176/12/C157</f>
        <v>2.2</v>
      </c>
      <c r="F176" s="45">
        <v>2</v>
      </c>
    </row>
    <row r="177" spans="1:6" ht="15">
      <c r="A177" s="45"/>
      <c r="B177" s="424" t="s">
        <v>43</v>
      </c>
      <c r="C177" s="44"/>
      <c r="D177" s="453">
        <f>D176</f>
        <v>1935.12</v>
      </c>
      <c r="E177" s="434">
        <f>E176</f>
        <v>2.2</v>
      </c>
      <c r="F177" s="44">
        <v>2</v>
      </c>
    </row>
    <row r="178" spans="1:6" ht="13.5" customHeight="1">
      <c r="A178" s="415"/>
      <c r="D178" s="415"/>
      <c r="F178" s="416"/>
    </row>
    <row r="179" spans="1:6" ht="15">
      <c r="A179" s="446"/>
      <c r="B179" s="39" t="s">
        <v>338</v>
      </c>
      <c r="C179" s="447">
        <f>D173+D177</f>
        <v>4557.454000000001</v>
      </c>
      <c r="D179" s="446"/>
      <c r="E179" s="446"/>
      <c r="F179" s="446"/>
    </row>
    <row r="180" spans="1:6" ht="15">
      <c r="A180" s="446"/>
      <c r="B180" s="39" t="s">
        <v>339</v>
      </c>
      <c r="C180" s="447"/>
      <c r="D180" s="446"/>
      <c r="E180" s="446"/>
      <c r="F180" s="446"/>
    </row>
    <row r="181" ht="16.5" customHeight="1"/>
    <row r="182" spans="2:3" ht="15">
      <c r="B182" s="22" t="s">
        <v>84</v>
      </c>
      <c r="C182" s="449">
        <f>E173+E177</f>
        <v>5.181280127330606</v>
      </c>
    </row>
    <row r="183" spans="2:3" ht="8.25" customHeight="1">
      <c r="B183" s="22"/>
      <c r="C183" s="23"/>
    </row>
    <row r="184" spans="1:6" ht="25.5" customHeight="1">
      <c r="A184" s="287" t="s">
        <v>44</v>
      </c>
      <c r="B184" s="287"/>
      <c r="C184" s="287"/>
      <c r="D184" s="287"/>
      <c r="E184" s="287"/>
      <c r="F184" s="287"/>
    </row>
    <row r="185" spans="1:6" ht="5.25" customHeight="1">
      <c r="A185" s="36"/>
      <c r="B185" s="36"/>
      <c r="C185" s="36"/>
      <c r="D185" s="36"/>
      <c r="E185" s="41"/>
      <c r="F185" s="41"/>
    </row>
    <row r="186" spans="1:6" ht="57">
      <c r="A186" s="42"/>
      <c r="B186" s="258" t="s">
        <v>4</v>
      </c>
      <c r="C186" s="258" t="s">
        <v>45</v>
      </c>
      <c r="D186" s="258" t="s">
        <v>6</v>
      </c>
      <c r="E186" s="258" t="s">
        <v>46</v>
      </c>
      <c r="F186" s="41"/>
    </row>
    <row r="187" spans="1:6" ht="15">
      <c r="A187" s="288" t="s">
        <v>47</v>
      </c>
      <c r="B187" s="288"/>
      <c r="C187" s="288"/>
      <c r="D187" s="288"/>
      <c r="E187" s="288"/>
      <c r="F187" s="41"/>
    </row>
    <row r="188" spans="1:6" ht="30">
      <c r="A188" s="52" t="s">
        <v>73</v>
      </c>
      <c r="B188" s="88" t="s">
        <v>51</v>
      </c>
      <c r="C188" s="88" t="s">
        <v>12</v>
      </c>
      <c r="D188" s="431">
        <v>8.796</v>
      </c>
      <c r="E188" s="439">
        <v>0.01</v>
      </c>
      <c r="F188" s="41"/>
    </row>
    <row r="189" spans="1:6" ht="15">
      <c r="A189" s="288" t="s">
        <v>53</v>
      </c>
      <c r="B189" s="288"/>
      <c r="C189" s="288"/>
      <c r="D189" s="288"/>
      <c r="E189" s="288"/>
      <c r="F189" s="41"/>
    </row>
    <row r="190" spans="1:6" ht="15">
      <c r="A190" s="52" t="s">
        <v>75</v>
      </c>
      <c r="B190" s="123" t="s">
        <v>17</v>
      </c>
      <c r="C190" s="42" t="s">
        <v>12</v>
      </c>
      <c r="D190" s="431">
        <v>52.775999999999996</v>
      </c>
      <c r="E190" s="418">
        <v>0.06</v>
      </c>
      <c r="F190" s="41"/>
    </row>
    <row r="191" spans="1:6" ht="15">
      <c r="A191" s="415"/>
      <c r="D191" s="415"/>
      <c r="F191" s="416"/>
    </row>
    <row r="192" spans="1:6" ht="105">
      <c r="A192" s="45" t="s">
        <v>3</v>
      </c>
      <c r="B192" s="45" t="s">
        <v>320</v>
      </c>
      <c r="C192" s="45" t="s">
        <v>37</v>
      </c>
      <c r="D192" s="45" t="s">
        <v>38</v>
      </c>
      <c r="E192" s="45" t="s">
        <v>39</v>
      </c>
      <c r="F192" s="45" t="s">
        <v>40</v>
      </c>
    </row>
    <row r="193" spans="1:6" ht="15">
      <c r="A193" s="45">
        <v>1</v>
      </c>
      <c r="B193" s="42" t="s">
        <v>41</v>
      </c>
      <c r="C193" s="45" t="s">
        <v>361</v>
      </c>
      <c r="D193" s="433">
        <v>500</v>
      </c>
      <c r="E193" s="433">
        <v>0.5714285714285715</v>
      </c>
      <c r="F193" s="45">
        <v>2</v>
      </c>
    </row>
    <row r="194" spans="1:6" ht="15">
      <c r="A194" s="45"/>
      <c r="B194" s="424" t="s">
        <v>43</v>
      </c>
      <c r="C194" s="44"/>
      <c r="D194" s="434">
        <v>502.62857142857143</v>
      </c>
      <c r="E194" s="434">
        <v>0.5714285714285715</v>
      </c>
      <c r="F194" s="44">
        <v>2</v>
      </c>
    </row>
    <row r="195" spans="1:6" ht="15">
      <c r="A195" s="415"/>
      <c r="C195" s="415"/>
      <c r="D195" s="415"/>
      <c r="F195" s="416"/>
    </row>
    <row r="196" spans="1:6" ht="15">
      <c r="A196" s="415"/>
      <c r="B196" s="20" t="s">
        <v>370</v>
      </c>
      <c r="C196" s="23">
        <v>80.5</v>
      </c>
      <c r="D196" s="22" t="s">
        <v>2</v>
      </c>
      <c r="F196" s="416"/>
    </row>
    <row r="197" spans="1:6" ht="16.5" customHeight="1">
      <c r="A197" s="415"/>
      <c r="B197" s="22"/>
      <c r="C197" s="415"/>
      <c r="D197" s="415"/>
      <c r="F197" s="416"/>
    </row>
    <row r="198" spans="1:6" ht="51.75" customHeight="1">
      <c r="A198" s="417" t="s">
        <v>62</v>
      </c>
      <c r="B198" s="417"/>
      <c r="C198" s="417"/>
      <c r="D198" s="417"/>
      <c r="F198" s="416"/>
    </row>
    <row r="199" spans="1:6" ht="90">
      <c r="A199" s="45" t="s">
        <v>3</v>
      </c>
      <c r="B199" s="418" t="s">
        <v>4</v>
      </c>
      <c r="C199" s="439" t="s">
        <v>5</v>
      </c>
      <c r="D199" s="45" t="s">
        <v>6</v>
      </c>
      <c r="E199" s="45" t="s">
        <v>7</v>
      </c>
      <c r="F199" s="416"/>
    </row>
    <row r="200" spans="1:6" ht="30" customHeight="1">
      <c r="A200" s="418"/>
      <c r="B200" s="291" t="s">
        <v>329</v>
      </c>
      <c r="C200" s="457"/>
      <c r="D200" s="444">
        <f>D201+D202</f>
        <v>74.382</v>
      </c>
      <c r="E200" s="444">
        <f>E201+E202</f>
        <v>0.07700000000000001</v>
      </c>
      <c r="F200" s="416"/>
    </row>
    <row r="201" spans="1:6" ht="30">
      <c r="A201" s="418">
        <v>1</v>
      </c>
      <c r="B201" s="42" t="s">
        <v>21</v>
      </c>
      <c r="C201" s="418" t="s">
        <v>13</v>
      </c>
      <c r="D201" s="425">
        <f>E201*12*C196</f>
        <v>42.504000000000005</v>
      </c>
      <c r="E201" s="425">
        <v>0.044000000000000004</v>
      </c>
      <c r="F201" s="416"/>
    </row>
    <row r="202" spans="1:6" ht="62.25" customHeight="1">
      <c r="A202" s="418">
        <v>2</v>
      </c>
      <c r="B202" s="42" t="s">
        <v>330</v>
      </c>
      <c r="C202" s="54" t="s">
        <v>13</v>
      </c>
      <c r="D202" s="425">
        <f>E202*12*C196</f>
        <v>31.878</v>
      </c>
      <c r="E202" s="425">
        <v>0.033</v>
      </c>
      <c r="F202" s="416"/>
    </row>
    <row r="203" spans="1:6" ht="15">
      <c r="A203" s="45"/>
      <c r="B203" s="420" t="s">
        <v>331</v>
      </c>
      <c r="C203" s="420"/>
      <c r="D203" s="444">
        <f>D204+D205</f>
        <v>743.82</v>
      </c>
      <c r="E203" s="444">
        <f>E204+E205</f>
        <v>0.77</v>
      </c>
      <c r="F203" s="464"/>
    </row>
    <row r="204" spans="1:6" ht="15">
      <c r="A204" s="45">
        <v>3</v>
      </c>
      <c r="B204" s="42" t="s">
        <v>26</v>
      </c>
      <c r="C204" s="54" t="s">
        <v>27</v>
      </c>
      <c r="D204" s="454">
        <f>E204*12*C196</f>
        <v>680.0640000000001</v>
      </c>
      <c r="E204" s="425">
        <v>0.7040000000000001</v>
      </c>
      <c r="F204" s="416"/>
    </row>
    <row r="205" spans="1:6" ht="30">
      <c r="A205" s="45">
        <v>4</v>
      </c>
      <c r="B205" s="42" t="s">
        <v>28</v>
      </c>
      <c r="C205" s="54" t="s">
        <v>29</v>
      </c>
      <c r="D205" s="454">
        <f>E205*12*C196</f>
        <v>63.756</v>
      </c>
      <c r="E205" s="425">
        <v>0.066</v>
      </c>
      <c r="F205" s="416"/>
    </row>
    <row r="206" spans="1:6" ht="15">
      <c r="A206" s="45"/>
      <c r="B206" s="420" t="s">
        <v>332</v>
      </c>
      <c r="C206" s="420"/>
      <c r="D206" s="444">
        <f>D207+D208</f>
        <v>1555.3999999999992</v>
      </c>
      <c r="E206" s="444">
        <f>E207+E208</f>
        <v>1.6101449275362314</v>
      </c>
      <c r="F206" s="416"/>
    </row>
    <row r="207" spans="1:6" ht="75">
      <c r="A207" s="45">
        <v>5</v>
      </c>
      <c r="B207" s="42" t="s">
        <v>89</v>
      </c>
      <c r="C207" s="42" t="s">
        <v>13</v>
      </c>
      <c r="D207" s="422">
        <f>E207*12*C196</f>
        <v>159.39</v>
      </c>
      <c r="E207" s="425">
        <v>0.165</v>
      </c>
      <c r="F207" s="416"/>
    </row>
    <row r="208" spans="1:6" ht="90">
      <c r="A208" s="45">
        <v>6</v>
      </c>
      <c r="B208" s="42" t="s">
        <v>71</v>
      </c>
      <c r="C208" s="42" t="s">
        <v>357</v>
      </c>
      <c r="D208" s="422">
        <f>E208*12*C196</f>
        <v>1396.0099999999993</v>
      </c>
      <c r="E208" s="425">
        <v>1.4451449275362314</v>
      </c>
      <c r="F208" s="416"/>
    </row>
    <row r="209" spans="1:6" ht="15">
      <c r="A209" s="45"/>
      <c r="B209" s="420" t="s">
        <v>335</v>
      </c>
      <c r="C209" s="420"/>
      <c r="D209" s="444">
        <f>D210</f>
        <v>159.39</v>
      </c>
      <c r="E209" s="444">
        <f>E210</f>
        <v>0.165</v>
      </c>
      <c r="F209" s="416"/>
    </row>
    <row r="210" spans="1:6" ht="15">
      <c r="A210" s="45">
        <v>7</v>
      </c>
      <c r="B210" s="42" t="s">
        <v>68</v>
      </c>
      <c r="C210" s="42" t="s">
        <v>31</v>
      </c>
      <c r="D210" s="422">
        <f>E210*12*C196</f>
        <v>159.39</v>
      </c>
      <c r="E210" s="425">
        <v>0.165</v>
      </c>
      <c r="F210" s="416"/>
    </row>
    <row r="211" spans="1:6" ht="15">
      <c r="A211" s="45"/>
      <c r="B211" s="424" t="s">
        <v>336</v>
      </c>
      <c r="C211" s="424"/>
      <c r="D211" s="444">
        <f>D212</f>
        <v>31.878</v>
      </c>
      <c r="E211" s="444">
        <f>E212</f>
        <v>0.033</v>
      </c>
      <c r="F211" s="416"/>
    </row>
    <row r="212" spans="1:6" ht="45">
      <c r="A212" s="45">
        <v>8</v>
      </c>
      <c r="B212" s="54" t="s">
        <v>86</v>
      </c>
      <c r="C212" s="54" t="s">
        <v>12</v>
      </c>
      <c r="D212" s="454">
        <f>E212*12*C196</f>
        <v>31.878</v>
      </c>
      <c r="E212" s="425">
        <v>0.033</v>
      </c>
      <c r="F212" s="416"/>
    </row>
    <row r="213" spans="1:6" ht="15">
      <c r="A213" s="418"/>
      <c r="B213" s="424" t="s">
        <v>36</v>
      </c>
      <c r="C213" s="424"/>
      <c r="D213" s="444">
        <f>D211+D209+D206+D203+D200</f>
        <v>2564.8699999999994</v>
      </c>
      <c r="E213" s="444">
        <f>E211+E209+E206+E203+E200</f>
        <v>2.6551449275362313</v>
      </c>
      <c r="F213" s="416"/>
    </row>
    <row r="214" spans="1:6" ht="7.5" customHeight="1">
      <c r="A214" s="415"/>
      <c r="C214" s="415"/>
      <c r="D214" s="415"/>
      <c r="F214" s="416"/>
    </row>
    <row r="215" spans="1:6" ht="105">
      <c r="A215" s="45" t="s">
        <v>3</v>
      </c>
      <c r="B215" s="45" t="s">
        <v>320</v>
      </c>
      <c r="C215" s="45" t="s">
        <v>37</v>
      </c>
      <c r="D215" s="45" t="s">
        <v>38</v>
      </c>
      <c r="E215" s="45" t="s">
        <v>39</v>
      </c>
      <c r="F215" s="45" t="s">
        <v>40</v>
      </c>
    </row>
    <row r="216" spans="1:6" ht="15">
      <c r="A216" s="45">
        <v>1</v>
      </c>
      <c r="B216" s="42" t="s">
        <v>41</v>
      </c>
      <c r="C216" s="45" t="s">
        <v>371</v>
      </c>
      <c r="D216" s="433">
        <v>2125.2</v>
      </c>
      <c r="E216" s="433">
        <f>D216/12/C196</f>
        <v>2.1999999999999997</v>
      </c>
      <c r="F216" s="45">
        <v>2</v>
      </c>
    </row>
    <row r="217" spans="1:6" ht="15">
      <c r="A217" s="45"/>
      <c r="B217" s="424" t="s">
        <v>43</v>
      </c>
      <c r="C217" s="44"/>
      <c r="D217" s="434">
        <f>D216</f>
        <v>2125.2</v>
      </c>
      <c r="E217" s="434">
        <f>E216</f>
        <v>2.1999999999999997</v>
      </c>
      <c r="F217" s="44">
        <v>2</v>
      </c>
    </row>
    <row r="218" spans="1:6" ht="9" customHeight="1">
      <c r="A218" s="415"/>
      <c r="D218" s="415"/>
      <c r="F218" s="416"/>
    </row>
    <row r="219" spans="1:6" ht="15">
      <c r="A219" s="446"/>
      <c r="B219" s="39" t="s">
        <v>338</v>
      </c>
      <c r="C219" s="447">
        <f>D213+D217</f>
        <v>4690.07</v>
      </c>
      <c r="D219" s="446"/>
      <c r="E219" s="446"/>
      <c r="F219" s="446"/>
    </row>
    <row r="220" spans="1:6" ht="15">
      <c r="A220" s="446"/>
      <c r="B220" s="39" t="s">
        <v>339</v>
      </c>
      <c r="C220" s="447"/>
      <c r="D220" s="446"/>
      <c r="E220" s="446"/>
      <c r="F220" s="446"/>
    </row>
    <row r="221" ht="8.25" customHeight="1"/>
    <row r="222" spans="2:3" ht="15">
      <c r="B222" s="22" t="s">
        <v>84</v>
      </c>
      <c r="C222" s="449">
        <f>E213+E217</f>
        <v>4.855144927536231</v>
      </c>
    </row>
    <row r="223" spans="2:3" ht="14.25" customHeight="1">
      <c r="B223" s="22"/>
      <c r="C223" s="23"/>
    </row>
    <row r="224" spans="1:6" ht="34.5" customHeight="1">
      <c r="A224" s="287" t="s">
        <v>44</v>
      </c>
      <c r="B224" s="287"/>
      <c r="C224" s="287"/>
      <c r="D224" s="287"/>
      <c r="E224" s="287"/>
      <c r="F224" s="287"/>
    </row>
    <row r="225" spans="1:6" ht="13.5" customHeight="1">
      <c r="A225" s="36"/>
      <c r="B225" s="36"/>
      <c r="C225" s="36"/>
      <c r="D225" s="36"/>
      <c r="E225" s="41"/>
      <c r="F225" s="41"/>
    </row>
    <row r="226" spans="1:6" ht="57">
      <c r="A226" s="42"/>
      <c r="B226" s="258" t="s">
        <v>4</v>
      </c>
      <c r="C226" s="258" t="s">
        <v>45</v>
      </c>
      <c r="D226" s="258" t="s">
        <v>6</v>
      </c>
      <c r="E226" s="258" t="s">
        <v>46</v>
      </c>
      <c r="F226" s="41"/>
    </row>
    <row r="227" spans="1:6" ht="15">
      <c r="A227" s="288" t="s">
        <v>47</v>
      </c>
      <c r="B227" s="288"/>
      <c r="C227" s="288"/>
      <c r="D227" s="288"/>
      <c r="E227" s="288"/>
      <c r="F227" s="41"/>
    </row>
    <row r="228" spans="1:6" ht="30">
      <c r="A228" s="52" t="s">
        <v>73</v>
      </c>
      <c r="B228" s="88" t="s">
        <v>51</v>
      </c>
      <c r="C228" s="88" t="s">
        <v>12</v>
      </c>
      <c r="D228" s="456">
        <v>9.66</v>
      </c>
      <c r="E228" s="439">
        <v>0.01</v>
      </c>
      <c r="F228" s="41"/>
    </row>
    <row r="229" spans="1:6" ht="15">
      <c r="A229" s="288" t="s">
        <v>53</v>
      </c>
      <c r="B229" s="288"/>
      <c r="C229" s="288"/>
      <c r="D229" s="288"/>
      <c r="E229" s="288"/>
      <c r="F229" s="41"/>
    </row>
    <row r="230" spans="1:6" ht="15">
      <c r="A230" s="52" t="s">
        <v>75</v>
      </c>
      <c r="B230" s="123" t="s">
        <v>17</v>
      </c>
      <c r="C230" s="42" t="s">
        <v>12</v>
      </c>
      <c r="D230" s="456">
        <v>57.96</v>
      </c>
      <c r="E230" s="418">
        <v>0.06</v>
      </c>
      <c r="F230" s="41"/>
    </row>
    <row r="231" spans="1:6" ht="12.75" customHeight="1">
      <c r="A231" s="415"/>
      <c r="D231" s="415"/>
      <c r="F231" s="416"/>
    </row>
    <row r="232" spans="1:6" ht="105">
      <c r="A232" s="45" t="s">
        <v>3</v>
      </c>
      <c r="B232" s="45" t="s">
        <v>320</v>
      </c>
      <c r="C232" s="45" t="s">
        <v>37</v>
      </c>
      <c r="D232" s="45" t="s">
        <v>38</v>
      </c>
      <c r="E232" s="45" t="s">
        <v>39</v>
      </c>
      <c r="F232" s="45" t="s">
        <v>40</v>
      </c>
    </row>
    <row r="233" spans="1:6" ht="15">
      <c r="A233" s="45">
        <v>1</v>
      </c>
      <c r="B233" s="42" t="s">
        <v>41</v>
      </c>
      <c r="C233" s="45" t="s">
        <v>361</v>
      </c>
      <c r="D233" s="433">
        <v>500</v>
      </c>
      <c r="E233" s="433">
        <f>D233/12/C196</f>
        <v>0.5175983436853002</v>
      </c>
      <c r="F233" s="45">
        <v>2</v>
      </c>
    </row>
    <row r="234" spans="1:6" ht="15">
      <c r="A234" s="45"/>
      <c r="B234" s="424" t="s">
        <v>43</v>
      </c>
      <c r="C234" s="44"/>
      <c r="D234" s="434">
        <f>D233</f>
        <v>500</v>
      </c>
      <c r="E234" s="434">
        <f>E233</f>
        <v>0.5175983436853002</v>
      </c>
      <c r="F234" s="44">
        <v>2</v>
      </c>
    </row>
    <row r="235" spans="1:6" ht="15" customHeight="1">
      <c r="A235" s="415"/>
      <c r="C235" s="415"/>
      <c r="D235" s="415"/>
      <c r="F235" s="416"/>
    </row>
    <row r="236" spans="1:6" ht="24" customHeight="1">
      <c r="A236" s="415"/>
      <c r="B236" s="22" t="s">
        <v>372</v>
      </c>
      <c r="C236" s="23">
        <v>182.6</v>
      </c>
      <c r="D236" s="22" t="s">
        <v>2</v>
      </c>
      <c r="F236" s="416"/>
    </row>
    <row r="237" spans="1:6" ht="11.25" customHeight="1">
      <c r="A237" s="415"/>
      <c r="B237" s="22"/>
      <c r="C237" s="415"/>
      <c r="D237" s="415"/>
      <c r="F237" s="416"/>
    </row>
    <row r="238" spans="1:6" ht="52.5" customHeight="1">
      <c r="A238" s="417" t="s">
        <v>62</v>
      </c>
      <c r="B238" s="417"/>
      <c r="C238" s="417"/>
      <c r="D238" s="417"/>
      <c r="F238" s="416"/>
    </row>
    <row r="239" spans="1:6" ht="90">
      <c r="A239" s="45" t="s">
        <v>3</v>
      </c>
      <c r="B239" s="418" t="s">
        <v>4</v>
      </c>
      <c r="C239" s="439" t="s">
        <v>5</v>
      </c>
      <c r="D239" s="45" t="s">
        <v>6</v>
      </c>
      <c r="E239" s="45" t="s">
        <v>7</v>
      </c>
      <c r="F239" s="416"/>
    </row>
    <row r="240" spans="1:6" ht="37.5" customHeight="1">
      <c r="A240" s="418"/>
      <c r="B240" s="291" t="s">
        <v>329</v>
      </c>
      <c r="C240" s="457"/>
      <c r="D240" s="434">
        <f>D241+D242+D243</f>
        <v>1108.7472</v>
      </c>
      <c r="E240" s="444">
        <f>E241+E242+E243</f>
        <v>0.506</v>
      </c>
      <c r="F240" s="416"/>
    </row>
    <row r="241" spans="1:6" ht="30">
      <c r="A241" s="418">
        <v>1</v>
      </c>
      <c r="B241" s="42" t="s">
        <v>21</v>
      </c>
      <c r="C241" s="42" t="s">
        <v>13</v>
      </c>
      <c r="D241" s="433">
        <f>E241*12*C236</f>
        <v>192.8256</v>
      </c>
      <c r="E241" s="425">
        <v>0.08800000000000001</v>
      </c>
      <c r="F241" s="416"/>
    </row>
    <row r="242" spans="1:6" ht="30.75" customHeight="1">
      <c r="A242" s="418">
        <v>2</v>
      </c>
      <c r="B242" s="42" t="s">
        <v>87</v>
      </c>
      <c r="C242" s="42" t="s">
        <v>13</v>
      </c>
      <c r="D242" s="433">
        <f>E242*12*C236</f>
        <v>216.92880000000002</v>
      </c>
      <c r="E242" s="425">
        <v>0.099</v>
      </c>
      <c r="F242" s="416"/>
    </row>
    <row r="243" spans="1:6" ht="60" customHeight="1">
      <c r="A243" s="418">
        <v>3</v>
      </c>
      <c r="B243" s="42" t="s">
        <v>330</v>
      </c>
      <c r="C243" s="42" t="s">
        <v>13</v>
      </c>
      <c r="D243" s="433">
        <f>E243*12*C236</f>
        <v>698.9928</v>
      </c>
      <c r="E243" s="425">
        <v>0.319</v>
      </c>
      <c r="F243" s="416"/>
    </row>
    <row r="244" spans="1:6" ht="15">
      <c r="A244" s="45"/>
      <c r="B244" s="420" t="s">
        <v>331</v>
      </c>
      <c r="C244" s="420"/>
      <c r="D244" s="434">
        <f>D245+D246</f>
        <v>2651.3520000000003</v>
      </c>
      <c r="E244" s="444">
        <f>E245+E246</f>
        <v>1.2100000000000002</v>
      </c>
      <c r="F244" s="464"/>
    </row>
    <row r="245" spans="1:6" ht="15">
      <c r="A245" s="45">
        <v>4</v>
      </c>
      <c r="B245" s="42" t="s">
        <v>26</v>
      </c>
      <c r="C245" s="54" t="s">
        <v>27</v>
      </c>
      <c r="D245" s="433">
        <f>E245*12*C236</f>
        <v>2434.4232</v>
      </c>
      <c r="E245" s="425">
        <v>1.1110000000000002</v>
      </c>
      <c r="F245" s="416"/>
    </row>
    <row r="246" spans="1:6" ht="17.25" customHeight="1">
      <c r="A246" s="45">
        <v>5</v>
      </c>
      <c r="B246" s="42" t="s">
        <v>28</v>
      </c>
      <c r="C246" s="54" t="s">
        <v>29</v>
      </c>
      <c r="D246" s="433">
        <f>E246*12*C236</f>
        <v>216.92880000000002</v>
      </c>
      <c r="E246" s="425">
        <v>0.099</v>
      </c>
      <c r="F246" s="416"/>
    </row>
    <row r="247" spans="1:6" ht="15">
      <c r="A247" s="45"/>
      <c r="B247" s="420" t="s">
        <v>332</v>
      </c>
      <c r="C247" s="420"/>
      <c r="D247" s="434">
        <f>D248+D249</f>
        <v>3741.6059999999998</v>
      </c>
      <c r="E247" s="444">
        <f>E248+E249</f>
        <v>1.7075602409638555</v>
      </c>
      <c r="F247" s="416"/>
    </row>
    <row r="248" spans="1:6" ht="75">
      <c r="A248" s="45">
        <v>6</v>
      </c>
      <c r="B248" s="42" t="s">
        <v>89</v>
      </c>
      <c r="C248" s="42" t="s">
        <v>13</v>
      </c>
      <c r="D248" s="433">
        <f>E248*12*C236</f>
        <v>457.9608</v>
      </c>
      <c r="E248" s="425">
        <v>0.20900000000000002</v>
      </c>
      <c r="F248" s="416"/>
    </row>
    <row r="249" spans="1:6" ht="90">
      <c r="A249" s="45">
        <v>7</v>
      </c>
      <c r="B249" s="42" t="s">
        <v>71</v>
      </c>
      <c r="C249" s="42" t="s">
        <v>357</v>
      </c>
      <c r="D249" s="433">
        <f>E249*12*C236</f>
        <v>3283.6452</v>
      </c>
      <c r="E249" s="425">
        <v>1.4985602409638554</v>
      </c>
      <c r="F249" s="416"/>
    </row>
    <row r="250" spans="1:6" ht="15">
      <c r="A250" s="45"/>
      <c r="B250" s="420" t="s">
        <v>335</v>
      </c>
      <c r="C250" s="420"/>
      <c r="D250" s="434">
        <f>D251</f>
        <v>482.064</v>
      </c>
      <c r="E250" s="444">
        <f>E251</f>
        <v>0.22</v>
      </c>
      <c r="F250" s="416"/>
    </row>
    <row r="251" spans="1:6" ht="15">
      <c r="A251" s="45">
        <v>8</v>
      </c>
      <c r="B251" s="42" t="s">
        <v>68</v>
      </c>
      <c r="C251" s="42" t="s">
        <v>31</v>
      </c>
      <c r="D251" s="433">
        <f>E251*12*C236</f>
        <v>482.064</v>
      </c>
      <c r="E251" s="425">
        <v>0.22</v>
      </c>
      <c r="F251" s="416"/>
    </row>
    <row r="252" spans="1:6" ht="15">
      <c r="A252" s="45"/>
      <c r="B252" s="424" t="s">
        <v>336</v>
      </c>
      <c r="C252" s="424"/>
      <c r="D252" s="434">
        <f>D253</f>
        <v>96.4128</v>
      </c>
      <c r="E252" s="444">
        <f>E253</f>
        <v>0.044000000000000004</v>
      </c>
      <c r="F252" s="416"/>
    </row>
    <row r="253" spans="1:6" ht="45">
      <c r="A253" s="45">
        <v>9</v>
      </c>
      <c r="B253" s="54" t="s">
        <v>86</v>
      </c>
      <c r="C253" s="54" t="s">
        <v>12</v>
      </c>
      <c r="D253" s="433">
        <f>E253*12*C236</f>
        <v>96.4128</v>
      </c>
      <c r="E253" s="425">
        <v>0.044000000000000004</v>
      </c>
      <c r="F253" s="416"/>
    </row>
    <row r="254" spans="1:6" ht="15">
      <c r="A254" s="418"/>
      <c r="B254" s="424" t="s">
        <v>36</v>
      </c>
      <c r="C254" s="424"/>
      <c r="D254" s="427">
        <f>D252+D250+D247+D244+D240</f>
        <v>8080.182000000001</v>
      </c>
      <c r="E254" s="444">
        <f>E252+E250+E247+E244+E240</f>
        <v>3.6875602409638555</v>
      </c>
      <c r="F254" s="416"/>
    </row>
    <row r="255" spans="1:6" ht="13.5" customHeight="1">
      <c r="A255" s="415"/>
      <c r="C255" s="415"/>
      <c r="D255" s="415"/>
      <c r="F255" s="416"/>
    </row>
    <row r="256" spans="1:6" ht="105">
      <c r="A256" s="45" t="s">
        <v>3</v>
      </c>
      <c r="B256" s="45" t="s">
        <v>320</v>
      </c>
      <c r="C256" s="45" t="s">
        <v>37</v>
      </c>
      <c r="D256" s="45" t="s">
        <v>38</v>
      </c>
      <c r="E256" s="45" t="s">
        <v>39</v>
      </c>
      <c r="F256" s="45" t="s">
        <v>40</v>
      </c>
    </row>
    <row r="257" spans="1:6" ht="15">
      <c r="A257" s="45">
        <v>1</v>
      </c>
      <c r="B257" s="42" t="s">
        <v>41</v>
      </c>
      <c r="C257" s="45" t="s">
        <v>373</v>
      </c>
      <c r="D257" s="452">
        <v>4820.6</v>
      </c>
      <c r="E257" s="433">
        <f>D257/12/C236</f>
        <v>2.1999817451624684</v>
      </c>
      <c r="F257" s="45">
        <v>2</v>
      </c>
    </row>
    <row r="258" spans="1:6" ht="15">
      <c r="A258" s="45"/>
      <c r="B258" s="424" t="s">
        <v>43</v>
      </c>
      <c r="C258" s="44"/>
      <c r="D258" s="453">
        <f>D257</f>
        <v>4820.6</v>
      </c>
      <c r="E258" s="434">
        <f>E257</f>
        <v>2.1999817451624684</v>
      </c>
      <c r="F258" s="44">
        <v>2</v>
      </c>
    </row>
    <row r="259" spans="1:6" ht="11.25" customHeight="1">
      <c r="A259" s="415"/>
      <c r="D259" s="415"/>
      <c r="F259" s="416"/>
    </row>
    <row r="260" spans="1:6" ht="15">
      <c r="A260" s="446"/>
      <c r="B260" s="39" t="s">
        <v>338</v>
      </c>
      <c r="C260" s="447">
        <f>D254+D258</f>
        <v>12900.782000000001</v>
      </c>
      <c r="D260" s="446"/>
      <c r="E260" s="446"/>
      <c r="F260" s="446"/>
    </row>
    <row r="261" spans="1:6" ht="12.75" customHeight="1">
      <c r="A261" s="446"/>
      <c r="B261" s="39" t="s">
        <v>339</v>
      </c>
      <c r="C261" s="447"/>
      <c r="D261" s="446"/>
      <c r="E261" s="446"/>
      <c r="F261" s="446"/>
    </row>
    <row r="262" ht="6.75" customHeight="1"/>
    <row r="263" spans="2:3" ht="15">
      <c r="B263" s="22" t="s">
        <v>84</v>
      </c>
      <c r="C263" s="449">
        <f>E254+E258</f>
        <v>5.887541986126324</v>
      </c>
    </row>
    <row r="264" spans="2:3" ht="12.75" customHeight="1">
      <c r="B264" s="22"/>
      <c r="C264" s="23"/>
    </row>
    <row r="265" spans="1:6" ht="25.5" customHeight="1">
      <c r="A265" s="287" t="s">
        <v>44</v>
      </c>
      <c r="B265" s="287"/>
      <c r="C265" s="287"/>
      <c r="D265" s="287"/>
      <c r="E265" s="287"/>
      <c r="F265" s="287"/>
    </row>
    <row r="266" spans="1:6" ht="12.75" customHeight="1">
      <c r="A266" s="36"/>
      <c r="B266" s="36"/>
      <c r="C266" s="36"/>
      <c r="D266" s="36"/>
      <c r="E266" s="41"/>
      <c r="F266" s="41"/>
    </row>
    <row r="267" spans="1:6" ht="57">
      <c r="A267" s="42"/>
      <c r="B267" s="258" t="s">
        <v>4</v>
      </c>
      <c r="C267" s="258" t="s">
        <v>45</v>
      </c>
      <c r="D267" s="258" t="s">
        <v>6</v>
      </c>
      <c r="E267" s="258" t="s">
        <v>46</v>
      </c>
      <c r="F267" s="41"/>
    </row>
    <row r="268" spans="1:6" ht="15">
      <c r="A268" s="288" t="s">
        <v>47</v>
      </c>
      <c r="B268" s="288"/>
      <c r="C268" s="288"/>
      <c r="D268" s="288"/>
      <c r="E268" s="288"/>
      <c r="F268" s="41"/>
    </row>
    <row r="269" spans="1:6" ht="30">
      <c r="A269" s="52" t="s">
        <v>73</v>
      </c>
      <c r="B269" s="88" t="s">
        <v>51</v>
      </c>
      <c r="C269" s="88" t="s">
        <v>12</v>
      </c>
      <c r="D269" s="431">
        <v>21.912</v>
      </c>
      <c r="E269" s="439">
        <v>0.01</v>
      </c>
      <c r="F269" s="41"/>
    </row>
    <row r="270" spans="1:6" ht="15">
      <c r="A270" s="288" t="s">
        <v>53</v>
      </c>
      <c r="B270" s="288"/>
      <c r="C270" s="288"/>
      <c r="D270" s="288"/>
      <c r="E270" s="288"/>
      <c r="F270" s="41"/>
    </row>
    <row r="271" spans="1:6" ht="15">
      <c r="A271" s="52" t="s">
        <v>75</v>
      </c>
      <c r="B271" s="123" t="s">
        <v>17</v>
      </c>
      <c r="C271" s="42" t="s">
        <v>12</v>
      </c>
      <c r="D271" s="431">
        <v>131.47199999999998</v>
      </c>
      <c r="E271" s="418">
        <v>0.06</v>
      </c>
      <c r="F271" s="41"/>
    </row>
    <row r="272" spans="1:6" ht="9" customHeight="1">
      <c r="A272" s="415"/>
      <c r="D272" s="415"/>
      <c r="F272" s="416"/>
    </row>
    <row r="273" spans="1:6" ht="105">
      <c r="A273" s="45" t="s">
        <v>3</v>
      </c>
      <c r="B273" s="45" t="s">
        <v>320</v>
      </c>
      <c r="C273" s="45" t="s">
        <v>37</v>
      </c>
      <c r="D273" s="45" t="s">
        <v>38</v>
      </c>
      <c r="E273" s="45" t="s">
        <v>39</v>
      </c>
      <c r="F273" s="45" t="s">
        <v>40</v>
      </c>
    </row>
    <row r="274" spans="1:6" ht="15">
      <c r="A274" s="45">
        <v>1</v>
      </c>
      <c r="B274" s="42" t="s">
        <v>41</v>
      </c>
      <c r="C274" s="45" t="s">
        <v>364</v>
      </c>
      <c r="D274" s="433">
        <v>1000</v>
      </c>
      <c r="E274" s="433">
        <f>D274/12/C236</f>
        <v>0.4563709382986491</v>
      </c>
      <c r="F274" s="45">
        <v>2</v>
      </c>
    </row>
    <row r="275" spans="1:6" ht="15">
      <c r="A275" s="45"/>
      <c r="B275" s="424" t="s">
        <v>43</v>
      </c>
      <c r="C275" s="44"/>
      <c r="D275" s="434">
        <f>D274</f>
        <v>1000</v>
      </c>
      <c r="E275" s="434">
        <f>E274</f>
        <v>0.4563709382986491</v>
      </c>
      <c r="F275" s="44">
        <v>2</v>
      </c>
    </row>
    <row r="276" spans="1:6" ht="15">
      <c r="A276" s="415"/>
      <c r="C276" s="415"/>
      <c r="D276" s="415"/>
      <c r="F276" s="416"/>
    </row>
    <row r="277" spans="2:3" ht="15">
      <c r="B277" s="39" t="s">
        <v>338</v>
      </c>
      <c r="C277" s="447">
        <f>C25+C65+C104+C143+C179+C219+C260</f>
        <v>50074.439000000006</v>
      </c>
    </row>
    <row r="278" spans="2:3" ht="29.25">
      <c r="B278" s="39" t="s">
        <v>374</v>
      </c>
      <c r="C278" s="447"/>
    </row>
  </sheetData>
  <mergeCells count="92">
    <mergeCell ref="A227:E227"/>
    <mergeCell ref="A65:A66"/>
    <mergeCell ref="A104:A105"/>
    <mergeCell ref="A109:F109"/>
    <mergeCell ref="B47:C47"/>
    <mergeCell ref="B86:C86"/>
    <mergeCell ref="A84:E84"/>
    <mergeCell ref="A123:E123"/>
    <mergeCell ref="A5:D5"/>
    <mergeCell ref="B9:C9"/>
    <mergeCell ref="B12:C12"/>
    <mergeCell ref="B15:C15"/>
    <mergeCell ref="B7:C7"/>
    <mergeCell ref="A45:D45"/>
    <mergeCell ref="F25:F26"/>
    <mergeCell ref="A30:F30"/>
    <mergeCell ref="A33:E33"/>
    <mergeCell ref="A35:E35"/>
    <mergeCell ref="A25:A26"/>
    <mergeCell ref="C25:C26"/>
    <mergeCell ref="D25:D26"/>
    <mergeCell ref="E25:E26"/>
    <mergeCell ref="F179:F180"/>
    <mergeCell ref="A184:F184"/>
    <mergeCell ref="B127:C127"/>
    <mergeCell ref="D104:D105"/>
    <mergeCell ref="E104:E105"/>
    <mergeCell ref="F104:F105"/>
    <mergeCell ref="A179:A180"/>
    <mergeCell ref="C179:C180"/>
    <mergeCell ref="D179:D180"/>
    <mergeCell ref="E179:E180"/>
    <mergeCell ref="F143:F144"/>
    <mergeCell ref="A148:F148"/>
    <mergeCell ref="B166:C166"/>
    <mergeCell ref="B169:C169"/>
    <mergeCell ref="A151:E151"/>
    <mergeCell ref="A153:E153"/>
    <mergeCell ref="A159:D159"/>
    <mergeCell ref="B163:C163"/>
    <mergeCell ref="B161:C161"/>
    <mergeCell ref="D143:D144"/>
    <mergeCell ref="A268:E268"/>
    <mergeCell ref="A270:E270"/>
    <mergeCell ref="C277:C278"/>
    <mergeCell ref="A260:A261"/>
    <mergeCell ref="C260:C261"/>
    <mergeCell ref="D260:D261"/>
    <mergeCell ref="E260:E261"/>
    <mergeCell ref="B88:C88"/>
    <mergeCell ref="B91:C91"/>
    <mergeCell ref="B94:C94"/>
    <mergeCell ref="C104:C105"/>
    <mergeCell ref="B49:C49"/>
    <mergeCell ref="B52:C52"/>
    <mergeCell ref="B55:C55"/>
    <mergeCell ref="C65:C66"/>
    <mergeCell ref="F65:F66"/>
    <mergeCell ref="A70:F70"/>
    <mergeCell ref="A73:E73"/>
    <mergeCell ref="A75:E75"/>
    <mergeCell ref="D65:D66"/>
    <mergeCell ref="E65:E66"/>
    <mergeCell ref="A112:E112"/>
    <mergeCell ref="A114:E114"/>
    <mergeCell ref="B200:C200"/>
    <mergeCell ref="B130:C130"/>
    <mergeCell ref="B133:C133"/>
    <mergeCell ref="A143:A144"/>
    <mergeCell ref="C143:C144"/>
    <mergeCell ref="B125:C125"/>
    <mergeCell ref="E143:E144"/>
    <mergeCell ref="A187:E187"/>
    <mergeCell ref="A189:E189"/>
    <mergeCell ref="A198:D198"/>
    <mergeCell ref="B247:C247"/>
    <mergeCell ref="B203:C203"/>
    <mergeCell ref="B206:C206"/>
    <mergeCell ref="B209:C209"/>
    <mergeCell ref="A219:A220"/>
    <mergeCell ref="C219:C220"/>
    <mergeCell ref="B244:C244"/>
    <mergeCell ref="F260:F261"/>
    <mergeCell ref="A265:F265"/>
    <mergeCell ref="F219:F220"/>
    <mergeCell ref="A224:F224"/>
    <mergeCell ref="A229:E229"/>
    <mergeCell ref="A238:D238"/>
    <mergeCell ref="D219:D220"/>
    <mergeCell ref="E219:E220"/>
    <mergeCell ref="B250:C250"/>
    <mergeCell ref="B240:C240"/>
  </mergeCells>
  <printOptions horizontalCentered="1"/>
  <pageMargins left="0.3937007874015748" right="0.31496062992125984" top="0.31496062992125984" bottom="0.31496062992125984" header="0" footer="0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7">
      <selection activeCell="G22" sqref="G22"/>
    </sheetView>
  </sheetViews>
  <sheetFormatPr defaultColWidth="9.00390625" defaultRowHeight="12.75"/>
  <cols>
    <col min="1" max="1" width="3.75390625" style="182" customWidth="1"/>
    <col min="2" max="2" width="43.375" style="182" customWidth="1"/>
    <col min="3" max="3" width="17.75390625" style="182" customWidth="1"/>
    <col min="4" max="4" width="9.625" style="182" customWidth="1"/>
    <col min="5" max="5" width="10.875" style="182" customWidth="1"/>
    <col min="6" max="6" width="9.125" style="182" customWidth="1"/>
    <col min="7" max="7" width="10.625" style="182" customWidth="1"/>
    <col min="8" max="16384" width="9.125" style="182" customWidth="1"/>
  </cols>
  <sheetData>
    <row r="1" ht="12.75">
      <c r="C1" s="183"/>
    </row>
    <row r="2" spans="1:6" ht="15.75">
      <c r="A2" s="330" t="s">
        <v>261</v>
      </c>
      <c r="B2" s="330"/>
      <c r="C2" s="330"/>
      <c r="D2" s="330"/>
      <c r="E2" s="330"/>
      <c r="F2" s="184"/>
    </row>
    <row r="3" spans="1:6" ht="26.25" customHeight="1">
      <c r="A3" s="184" t="s">
        <v>73</v>
      </c>
      <c r="B3" s="185" t="s">
        <v>262</v>
      </c>
      <c r="C3" s="186"/>
      <c r="D3" s="278">
        <v>2331.9</v>
      </c>
      <c r="E3" s="187" t="s">
        <v>82</v>
      </c>
      <c r="F3" s="184"/>
    </row>
    <row r="4" spans="1:6" ht="12.75" customHeight="1">
      <c r="A4" s="184"/>
      <c r="B4" s="188"/>
      <c r="C4" s="184"/>
      <c r="D4" s="184"/>
      <c r="E4" s="184"/>
      <c r="F4" s="184"/>
    </row>
    <row r="5" spans="1:6" ht="27.75" customHeight="1">
      <c r="A5" s="321" t="s">
        <v>62</v>
      </c>
      <c r="B5" s="321"/>
      <c r="C5" s="321"/>
      <c r="D5" s="321"/>
      <c r="E5" s="321"/>
      <c r="F5" s="184"/>
    </row>
    <row r="6" spans="1:6" ht="12.75">
      <c r="A6" s="53"/>
      <c r="B6" s="53"/>
      <c r="C6" s="53"/>
      <c r="D6" s="53"/>
      <c r="E6" s="53"/>
      <c r="F6" s="184"/>
    </row>
    <row r="7" spans="1:6" ht="52.5" customHeight="1">
      <c r="A7" s="189"/>
      <c r="B7" s="190" t="s">
        <v>4</v>
      </c>
      <c r="C7" s="190" t="s">
        <v>5</v>
      </c>
      <c r="D7" s="190" t="s">
        <v>6</v>
      </c>
      <c r="E7" s="190" t="s">
        <v>93</v>
      </c>
      <c r="F7" s="184"/>
    </row>
    <row r="8" spans="1:6" ht="14.25" customHeight="1">
      <c r="A8" s="322" t="s">
        <v>170</v>
      </c>
      <c r="B8" s="317"/>
      <c r="C8" s="318"/>
      <c r="D8" s="275">
        <f>SUM(D9:D17)</f>
        <v>33029.62440967911</v>
      </c>
      <c r="E8" s="275">
        <f>SUM(E9:E17)</f>
        <v>1.1803545181211</v>
      </c>
      <c r="F8" s="184"/>
    </row>
    <row r="9" spans="1:6" ht="27.75" customHeight="1">
      <c r="A9" s="191" t="s">
        <v>48</v>
      </c>
      <c r="B9" s="192" t="s">
        <v>9</v>
      </c>
      <c r="C9" s="193" t="s">
        <v>10</v>
      </c>
      <c r="D9" s="197">
        <f>E9*$D$3*12</f>
        <v>10726.861469699636</v>
      </c>
      <c r="E9" s="197">
        <v>0.38333767420342624</v>
      </c>
      <c r="F9" s="184"/>
    </row>
    <row r="10" spans="1:6" ht="12.75">
      <c r="A10" s="246" t="s">
        <v>75</v>
      </c>
      <c r="B10" s="247" t="s">
        <v>253</v>
      </c>
      <c r="C10" s="248" t="s">
        <v>11</v>
      </c>
      <c r="D10" s="197">
        <f aca="true" t="shared" si="0" ref="D10:D31">E10*$D$3*12</f>
        <v>285.7012409447757</v>
      </c>
      <c r="E10" s="197">
        <v>0.010209887536085585</v>
      </c>
      <c r="F10" s="184"/>
    </row>
    <row r="11" spans="1:6" ht="15.75" customHeight="1">
      <c r="A11" s="324" t="s">
        <v>74</v>
      </c>
      <c r="B11" s="193" t="s">
        <v>263</v>
      </c>
      <c r="C11" s="193" t="s">
        <v>264</v>
      </c>
      <c r="D11" s="197">
        <f t="shared" si="0"/>
        <v>7642.219872919505</v>
      </c>
      <c r="E11" s="197">
        <v>0.2731041880340604</v>
      </c>
      <c r="F11" s="184"/>
    </row>
    <row r="12" spans="1:6" ht="14.25" customHeight="1">
      <c r="A12" s="325"/>
      <c r="B12" s="193" t="s">
        <v>265</v>
      </c>
      <c r="C12" s="193" t="s">
        <v>11</v>
      </c>
      <c r="D12" s="197">
        <f t="shared" si="0"/>
        <v>1124.4571776633838</v>
      </c>
      <c r="E12" s="197">
        <v>0.04018386929340108</v>
      </c>
      <c r="F12" s="184"/>
    </row>
    <row r="13" spans="1:6" ht="23.25" customHeight="1">
      <c r="A13" s="191" t="s">
        <v>130</v>
      </c>
      <c r="B13" s="193" t="s">
        <v>266</v>
      </c>
      <c r="C13" s="193" t="s">
        <v>11</v>
      </c>
      <c r="D13" s="197">
        <f t="shared" si="0"/>
        <v>1678.1671515127769</v>
      </c>
      <c r="E13" s="197">
        <v>0.05997138068787888</v>
      </c>
      <c r="F13" s="184"/>
    </row>
    <row r="14" spans="1:6" ht="19.5" customHeight="1">
      <c r="A14" s="191" t="s">
        <v>59</v>
      </c>
      <c r="B14" s="192" t="s">
        <v>171</v>
      </c>
      <c r="C14" s="192" t="s">
        <v>11</v>
      </c>
      <c r="D14" s="197">
        <f t="shared" si="0"/>
        <v>10730.813812042199</v>
      </c>
      <c r="E14" s="197">
        <v>0.3834789160499378</v>
      </c>
      <c r="F14" s="184"/>
    </row>
    <row r="15" spans="1:6" ht="41.25" customHeight="1">
      <c r="A15" s="191" t="s">
        <v>95</v>
      </c>
      <c r="B15" s="192" t="s">
        <v>267</v>
      </c>
      <c r="C15" s="192" t="s">
        <v>12</v>
      </c>
      <c r="D15" s="197">
        <f t="shared" si="0"/>
        <v>307.81080000000003</v>
      </c>
      <c r="E15" s="197">
        <v>0.011000000000000001</v>
      </c>
      <c r="F15" s="184"/>
    </row>
    <row r="16" spans="1:6" ht="17.25" customHeight="1">
      <c r="A16" s="191" t="s">
        <v>141</v>
      </c>
      <c r="B16" s="192" t="s">
        <v>174</v>
      </c>
      <c r="C16" s="192" t="s">
        <v>13</v>
      </c>
      <c r="D16" s="197">
        <f t="shared" si="0"/>
        <v>304.1610547814891</v>
      </c>
      <c r="E16" s="197">
        <v>0.010869571836324065</v>
      </c>
      <c r="F16" s="184"/>
    </row>
    <row r="17" spans="1:6" ht="24.75" customHeight="1">
      <c r="A17" s="191" t="s">
        <v>135</v>
      </c>
      <c r="B17" s="192" t="s">
        <v>268</v>
      </c>
      <c r="C17" s="192" t="s">
        <v>13</v>
      </c>
      <c r="D17" s="197">
        <f t="shared" si="0"/>
        <v>229.4318301153474</v>
      </c>
      <c r="E17" s="197">
        <v>0.008199030479985827</v>
      </c>
      <c r="F17" s="205"/>
    </row>
    <row r="18" spans="1:6" ht="24.75" customHeight="1">
      <c r="A18" s="316" t="s">
        <v>223</v>
      </c>
      <c r="B18" s="317"/>
      <c r="C18" s="318"/>
      <c r="D18" s="275">
        <f>SUM(D19:D27)</f>
        <v>64139.956038013166</v>
      </c>
      <c r="E18" s="275">
        <f>SUM(E19:E27)</f>
        <v>2.292120732664821</v>
      </c>
      <c r="F18" s="194">
        <f>E19+E20+E21+E22+E23+E24+E25+E26+E27</f>
        <v>2.292120732664821</v>
      </c>
    </row>
    <row r="19" spans="1:6" ht="15" customHeight="1">
      <c r="A19" s="191" t="s">
        <v>136</v>
      </c>
      <c r="B19" s="189" t="s">
        <v>57</v>
      </c>
      <c r="C19" s="193" t="s">
        <v>10</v>
      </c>
      <c r="D19" s="197">
        <f t="shared" si="0"/>
        <v>5289.94781265311</v>
      </c>
      <c r="E19" s="197">
        <v>0.1890428339070111</v>
      </c>
      <c r="F19" s="184"/>
    </row>
    <row r="20" spans="1:6" ht="15" customHeight="1">
      <c r="A20" s="191" t="s">
        <v>104</v>
      </c>
      <c r="B20" s="189" t="s">
        <v>250</v>
      </c>
      <c r="C20" s="193" t="s">
        <v>10</v>
      </c>
      <c r="D20" s="197">
        <f t="shared" si="0"/>
        <v>6513.995736954843</v>
      </c>
      <c r="E20" s="197">
        <v>0.23278570182236383</v>
      </c>
      <c r="F20" s="184"/>
    </row>
    <row r="21" spans="1:6" ht="22.5" customHeight="1">
      <c r="A21" s="191" t="s">
        <v>105</v>
      </c>
      <c r="B21" s="189" t="s">
        <v>66</v>
      </c>
      <c r="C21" s="192" t="s">
        <v>224</v>
      </c>
      <c r="D21" s="197">
        <f t="shared" si="0"/>
        <v>6464.0268</v>
      </c>
      <c r="E21" s="197">
        <v>0.231</v>
      </c>
      <c r="F21" s="184"/>
    </row>
    <row r="22" spans="1:6" ht="52.5" customHeight="1">
      <c r="A22" s="191" t="s">
        <v>106</v>
      </c>
      <c r="B22" s="193" t="s">
        <v>79</v>
      </c>
      <c r="C22" s="193" t="s">
        <v>16</v>
      </c>
      <c r="D22" s="197">
        <f t="shared" si="0"/>
        <v>34474.80960000001</v>
      </c>
      <c r="E22" s="197">
        <v>1.2320000000000002</v>
      </c>
      <c r="F22" s="184"/>
    </row>
    <row r="23" spans="1:6" ht="21" customHeight="1">
      <c r="A23" s="191" t="s">
        <v>107</v>
      </c>
      <c r="B23" s="192" t="s">
        <v>94</v>
      </c>
      <c r="C23" s="192" t="s">
        <v>15</v>
      </c>
      <c r="D23" s="197">
        <f t="shared" si="0"/>
        <v>307.81080000000003</v>
      </c>
      <c r="E23" s="197">
        <v>0.011000000000000001</v>
      </c>
      <c r="F23" s="184"/>
    </row>
    <row r="24" spans="1:6" ht="16.5" customHeight="1">
      <c r="A24" s="191" t="s">
        <v>110</v>
      </c>
      <c r="B24" s="192" t="s">
        <v>96</v>
      </c>
      <c r="C24" s="192" t="s">
        <v>12</v>
      </c>
      <c r="D24" s="197">
        <f t="shared" si="0"/>
        <v>307.81080000000003</v>
      </c>
      <c r="E24" s="197">
        <v>0.011000000000000001</v>
      </c>
      <c r="F24" s="184"/>
    </row>
    <row r="25" spans="1:6" ht="15.75" customHeight="1">
      <c r="A25" s="191" t="s">
        <v>153</v>
      </c>
      <c r="B25" s="192" t="s">
        <v>17</v>
      </c>
      <c r="C25" s="192" t="s">
        <v>18</v>
      </c>
      <c r="D25" s="197">
        <f t="shared" si="0"/>
        <v>9358.43395218055</v>
      </c>
      <c r="E25" s="197">
        <v>0.3344352227861597</v>
      </c>
      <c r="F25" s="184"/>
    </row>
    <row r="26" spans="1:7" ht="18" customHeight="1">
      <c r="A26" s="191" t="s">
        <v>114</v>
      </c>
      <c r="B26" s="192" t="s">
        <v>19</v>
      </c>
      <c r="C26" s="192" t="s">
        <v>12</v>
      </c>
      <c r="D26" s="197">
        <f t="shared" si="0"/>
        <v>1095.267070074025</v>
      </c>
      <c r="E26" s="197">
        <v>0.039140724662079025</v>
      </c>
      <c r="F26" s="198"/>
      <c r="G26" s="199"/>
    </row>
    <row r="27" spans="1:7" ht="17.25" customHeight="1">
      <c r="A27" s="191" t="s">
        <v>117</v>
      </c>
      <c r="B27" s="192" t="s">
        <v>98</v>
      </c>
      <c r="C27" s="192" t="s">
        <v>13</v>
      </c>
      <c r="D27" s="197">
        <f t="shared" si="0"/>
        <v>327.85346615062645</v>
      </c>
      <c r="E27" s="197">
        <v>0.01171624948720737</v>
      </c>
      <c r="F27" s="198"/>
      <c r="G27" s="199"/>
    </row>
    <row r="28" spans="1:7" ht="12.75" customHeight="1">
      <c r="A28" s="316" t="s">
        <v>255</v>
      </c>
      <c r="B28" s="317"/>
      <c r="C28" s="318"/>
      <c r="D28" s="275">
        <f>D29+D30+D31</f>
        <v>63101.21400000001</v>
      </c>
      <c r="E28" s="275">
        <f>E29+E30+E31</f>
        <v>2.2550000000000003</v>
      </c>
      <c r="F28" s="196">
        <f>E29+E30+E31</f>
        <v>2.2550000000000003</v>
      </c>
      <c r="G28" s="199"/>
    </row>
    <row r="29" spans="1:7" ht="15.75" customHeight="1">
      <c r="A29" s="191">
        <v>18</v>
      </c>
      <c r="B29" s="189" t="s">
        <v>26</v>
      </c>
      <c r="C29" s="193" t="s">
        <v>101</v>
      </c>
      <c r="D29" s="197">
        <f t="shared" si="0"/>
        <v>12004.621200000001</v>
      </c>
      <c r="E29" s="197">
        <v>0.42900000000000005</v>
      </c>
      <c r="F29" s="198"/>
      <c r="G29" s="199"/>
    </row>
    <row r="30" spans="1:7" ht="22.5" customHeight="1">
      <c r="A30" s="191" t="s">
        <v>157</v>
      </c>
      <c r="B30" s="192" t="s">
        <v>28</v>
      </c>
      <c r="C30" s="192" t="s">
        <v>103</v>
      </c>
      <c r="D30" s="197">
        <f t="shared" si="0"/>
        <v>1231.2432000000001</v>
      </c>
      <c r="E30" s="197">
        <v>0.044000000000000004</v>
      </c>
      <c r="F30" s="198"/>
      <c r="G30" s="199"/>
    </row>
    <row r="31" spans="1:7" ht="30.75" customHeight="1">
      <c r="A31" s="191" t="s">
        <v>256</v>
      </c>
      <c r="B31" s="192" t="s">
        <v>260</v>
      </c>
      <c r="C31" s="192" t="s">
        <v>101</v>
      </c>
      <c r="D31" s="197">
        <f t="shared" si="0"/>
        <v>49865.3496</v>
      </c>
      <c r="E31" s="197">
        <v>1.7820000000000003</v>
      </c>
      <c r="F31" s="198"/>
      <c r="G31" s="199"/>
    </row>
    <row r="32" spans="1:7" ht="14.25" customHeight="1">
      <c r="A32" s="200" t="s">
        <v>226</v>
      </c>
      <c r="B32" s="201"/>
      <c r="C32" s="202"/>
      <c r="D32" s="275">
        <f>SUM(D33:D36)</f>
        <v>34483.896648594724</v>
      </c>
      <c r="E32" s="275">
        <f>SUM(E33:E36)</f>
        <v>1.232324736931069</v>
      </c>
      <c r="F32" s="198"/>
      <c r="G32" s="199"/>
    </row>
    <row r="33" spans="1:7" ht="12.75">
      <c r="A33" s="191" t="s">
        <v>227</v>
      </c>
      <c r="B33" s="203" t="s">
        <v>21</v>
      </c>
      <c r="C33" s="192" t="s">
        <v>13</v>
      </c>
      <c r="D33" s="197">
        <f>E33*12*$D$3</f>
        <v>424.71206956124314</v>
      </c>
      <c r="E33" s="197">
        <v>0.015177611588591676</v>
      </c>
      <c r="F33" s="249"/>
      <c r="G33" s="204"/>
    </row>
    <row r="34" spans="1:7" ht="29.25" customHeight="1">
      <c r="A34" s="191" t="s">
        <v>228</v>
      </c>
      <c r="B34" s="192" t="s">
        <v>22</v>
      </c>
      <c r="C34" s="192" t="s">
        <v>13</v>
      </c>
      <c r="D34" s="197">
        <f>E34*12*$D$3</f>
        <v>2902.0579641752943</v>
      </c>
      <c r="E34" s="197">
        <v>0.10370863402430401</v>
      </c>
      <c r="F34" s="195"/>
      <c r="G34" s="199"/>
    </row>
    <row r="35" spans="1:6" ht="28.5" customHeight="1">
      <c r="A35" s="191" t="s">
        <v>229</v>
      </c>
      <c r="B35" s="192" t="s">
        <v>23</v>
      </c>
      <c r="C35" s="192" t="s">
        <v>13</v>
      </c>
      <c r="D35" s="197">
        <f>E35*12*$D$3</f>
        <v>1456.80930260974</v>
      </c>
      <c r="E35" s="197">
        <v>0.05206088392189987</v>
      </c>
      <c r="F35" s="184"/>
    </row>
    <row r="36" spans="1:6" ht="67.5" customHeight="1">
      <c r="A36" s="191" t="s">
        <v>230</v>
      </c>
      <c r="B36" s="192" t="s">
        <v>108</v>
      </c>
      <c r="C36" s="192" t="s">
        <v>13</v>
      </c>
      <c r="D36" s="197">
        <f>E36*12*$D$3</f>
        <v>29700.317312248444</v>
      </c>
      <c r="E36" s="197">
        <v>1.0613776073962735</v>
      </c>
      <c r="F36" s="205"/>
    </row>
    <row r="37" spans="1:6" ht="17.25" customHeight="1">
      <c r="A37" s="316" t="s">
        <v>231</v>
      </c>
      <c r="B37" s="317"/>
      <c r="C37" s="318"/>
      <c r="D37" s="275">
        <f>D38+D39+D40</f>
        <v>50091.55920271192</v>
      </c>
      <c r="E37" s="275">
        <f>E38+E39+E40</f>
        <v>1.7900838801946881</v>
      </c>
      <c r="F37" s="184"/>
    </row>
    <row r="38" spans="1:6" ht="66.75" customHeight="1">
      <c r="A38" s="191" t="s">
        <v>232</v>
      </c>
      <c r="B38" s="192" t="s">
        <v>88</v>
      </c>
      <c r="C38" s="192" t="s">
        <v>13</v>
      </c>
      <c r="D38" s="197">
        <f>E38*12*$D$3</f>
        <v>4048.7175885935862</v>
      </c>
      <c r="E38" s="197">
        <v>0.14468593523856033</v>
      </c>
      <c r="F38" s="184"/>
    </row>
    <row r="39" spans="1:6" ht="43.5" customHeight="1">
      <c r="A39" s="324" t="s">
        <v>233</v>
      </c>
      <c r="B39" s="326" t="s">
        <v>218</v>
      </c>
      <c r="C39" s="326" t="s">
        <v>112</v>
      </c>
      <c r="D39" s="328">
        <f>E39*12*$D$3</f>
        <v>46042.84161411833</v>
      </c>
      <c r="E39" s="328">
        <v>1.6453979449561278</v>
      </c>
      <c r="F39" s="184"/>
    </row>
    <row r="40" spans="1:6" ht="52.5" customHeight="1">
      <c r="A40" s="325"/>
      <c r="B40" s="327"/>
      <c r="C40" s="327"/>
      <c r="D40" s="329"/>
      <c r="E40" s="329"/>
      <c r="F40" s="184"/>
    </row>
    <row r="41" spans="1:6" ht="16.5" customHeight="1">
      <c r="A41" s="316" t="s">
        <v>234</v>
      </c>
      <c r="B41" s="317"/>
      <c r="C41" s="318"/>
      <c r="D41" s="275">
        <f>D42</f>
        <v>4001.540400000001</v>
      </c>
      <c r="E41" s="275">
        <f>E42</f>
        <v>0.14300000000000002</v>
      </c>
      <c r="F41" s="184"/>
    </row>
    <row r="42" spans="1:6" ht="24" customHeight="1">
      <c r="A42" s="206" t="s">
        <v>235</v>
      </c>
      <c r="B42" s="207" t="s">
        <v>68</v>
      </c>
      <c r="C42" s="189" t="s">
        <v>115</v>
      </c>
      <c r="D42" s="197">
        <f>E42*12*$D$3</f>
        <v>4001.540400000001</v>
      </c>
      <c r="E42" s="197">
        <v>0.14300000000000002</v>
      </c>
      <c r="F42" s="184"/>
    </row>
    <row r="43" spans="1:6" ht="15.75" customHeight="1">
      <c r="A43" s="316" t="s">
        <v>236</v>
      </c>
      <c r="B43" s="323"/>
      <c r="C43" s="323"/>
      <c r="D43" s="275">
        <f>SUM(D44:D46)</f>
        <v>3211.1138400570644</v>
      </c>
      <c r="E43" s="275">
        <f>SUM(E44:E46)</f>
        <v>0.11475312835231155</v>
      </c>
      <c r="F43" s="184"/>
    </row>
    <row r="44" spans="1:6" ht="25.5" customHeight="1">
      <c r="A44" s="191" t="s">
        <v>237</v>
      </c>
      <c r="B44" s="192" t="s">
        <v>32</v>
      </c>
      <c r="C44" s="192" t="s">
        <v>103</v>
      </c>
      <c r="D44" s="197">
        <f>E44*12*$D$3</f>
        <v>2207.0588419440005</v>
      </c>
      <c r="E44" s="197">
        <v>0.07887198000000001</v>
      </c>
      <c r="F44" s="184"/>
    </row>
    <row r="45" spans="1:7" ht="28.5" customHeight="1">
      <c r="A45" s="191" t="s">
        <v>238</v>
      </c>
      <c r="B45" s="192" t="s">
        <v>239</v>
      </c>
      <c r="C45" s="208" t="s">
        <v>13</v>
      </c>
      <c r="D45" s="197">
        <f>E45*12*$D$3</f>
        <v>307.81080000000003</v>
      </c>
      <c r="E45" s="197">
        <v>0.011000000000000001</v>
      </c>
      <c r="F45" s="184"/>
      <c r="G45" s="209"/>
    </row>
    <row r="46" spans="1:6" ht="27.75" customHeight="1">
      <c r="A46" s="191" t="s">
        <v>257</v>
      </c>
      <c r="B46" s="192" t="s">
        <v>35</v>
      </c>
      <c r="C46" s="192" t="s">
        <v>13</v>
      </c>
      <c r="D46" s="197">
        <f>E46*12*$D$3</f>
        <v>696.2441981130636</v>
      </c>
      <c r="E46" s="197">
        <v>0.024881148352311547</v>
      </c>
      <c r="F46" s="198"/>
    </row>
    <row r="47" spans="1:6" ht="12.75">
      <c r="A47" s="210"/>
      <c r="B47" s="211" t="s">
        <v>120</v>
      </c>
      <c r="C47" s="211"/>
      <c r="D47" s="250">
        <f>D8+D18+D28+D32+D37+D41+D43</f>
        <v>252058.904539056</v>
      </c>
      <c r="E47" s="251">
        <f>E8+E18+E28+E32+E37+E41+E43</f>
        <v>9.007636996263992</v>
      </c>
      <c r="F47" s="212"/>
    </row>
    <row r="48" spans="1:6" ht="15">
      <c r="A48" s="213"/>
      <c r="B48" s="214"/>
      <c r="C48" s="215"/>
      <c r="D48" s="216"/>
      <c r="E48" s="217"/>
      <c r="F48" s="196">
        <f>'[12]пр.Энтузиастов 44В'!AE42</f>
        <v>8.188761075304292</v>
      </c>
    </row>
    <row r="49" spans="1:6" ht="12.75">
      <c r="A49" s="218"/>
      <c r="B49" s="218"/>
      <c r="C49" s="218"/>
      <c r="D49" s="218"/>
      <c r="E49" s="218"/>
      <c r="F49" s="219"/>
    </row>
    <row r="50" spans="1:6" ht="44.25" customHeight="1">
      <c r="A50" s="220" t="s">
        <v>3</v>
      </c>
      <c r="B50" s="220" t="s">
        <v>121</v>
      </c>
      <c r="C50" s="220" t="s">
        <v>37</v>
      </c>
      <c r="D50" s="220" t="s">
        <v>38</v>
      </c>
      <c r="E50" s="220" t="s">
        <v>39</v>
      </c>
      <c r="F50" s="220" t="s">
        <v>40</v>
      </c>
    </row>
    <row r="51" spans="1:6" ht="21.75" customHeight="1">
      <c r="A51" s="221">
        <v>1</v>
      </c>
      <c r="B51" s="189" t="s">
        <v>41</v>
      </c>
      <c r="C51" s="221" t="s">
        <v>301</v>
      </c>
      <c r="D51" s="221">
        <v>27500</v>
      </c>
      <c r="E51" s="222">
        <f>D51/12/D3</f>
        <v>0.9827465443057878</v>
      </c>
      <c r="F51" s="223">
        <v>2</v>
      </c>
    </row>
    <row r="52" spans="1:6" ht="12" customHeight="1">
      <c r="A52" s="221">
        <v>2</v>
      </c>
      <c r="B52" s="224" t="s">
        <v>270</v>
      </c>
      <c r="C52" s="221" t="s">
        <v>271</v>
      </c>
      <c r="D52" s="221">
        <v>33000</v>
      </c>
      <c r="E52" s="221">
        <v>1.07</v>
      </c>
      <c r="F52" s="221">
        <v>2</v>
      </c>
    </row>
    <row r="53" spans="1:6" ht="14.25" customHeight="1">
      <c r="A53" s="221">
        <v>3</v>
      </c>
      <c r="B53" s="224" t="s">
        <v>272</v>
      </c>
      <c r="C53" s="221" t="s">
        <v>302</v>
      </c>
      <c r="D53" s="221">
        <v>862.4</v>
      </c>
      <c r="E53" s="221">
        <v>0.03</v>
      </c>
      <c r="F53" s="221">
        <v>2</v>
      </c>
    </row>
    <row r="54" spans="1:6" ht="12.75">
      <c r="A54" s="221"/>
      <c r="B54" s="225" t="s">
        <v>43</v>
      </c>
      <c r="C54" s="226"/>
      <c r="D54" s="227">
        <f>D51+D52+D53</f>
        <v>61362.4</v>
      </c>
      <c r="E54" s="228">
        <f>SUM(E51:E53)</f>
        <v>2.0827465443057878</v>
      </c>
      <c r="F54" s="229"/>
    </row>
    <row r="55" spans="1:6" ht="12.75">
      <c r="A55" s="213"/>
      <c r="B55" s="214"/>
      <c r="C55" s="230"/>
      <c r="D55" s="230"/>
      <c r="E55" s="230"/>
      <c r="F55" s="230"/>
    </row>
    <row r="56" spans="1:6" ht="25.5">
      <c r="A56" s="213"/>
      <c r="B56" s="214" t="s">
        <v>125</v>
      </c>
      <c r="C56" s="231">
        <f>D47+D54</f>
        <v>313421.30453905603</v>
      </c>
      <c r="D56" s="231"/>
      <c r="E56" s="231"/>
      <c r="F56" s="230"/>
    </row>
    <row r="57" spans="1:6" ht="12.75">
      <c r="A57" s="213"/>
      <c r="B57" s="214" t="s">
        <v>216</v>
      </c>
      <c r="C57" s="232">
        <f>E47+E54</f>
        <v>11.09038354056978</v>
      </c>
      <c r="D57" s="230"/>
      <c r="E57" s="230"/>
      <c r="F57" s="230"/>
    </row>
    <row r="58" spans="1:6" ht="12.75">
      <c r="A58" s="184"/>
      <c r="B58" s="184"/>
      <c r="C58" s="184"/>
      <c r="D58" s="184"/>
      <c r="E58" s="184"/>
      <c r="F58" s="184"/>
    </row>
    <row r="59" spans="1:6" ht="36" customHeight="1">
      <c r="A59" s="321" t="s">
        <v>217</v>
      </c>
      <c r="B59" s="321"/>
      <c r="C59" s="321"/>
      <c r="D59" s="321"/>
      <c r="E59" s="321"/>
      <c r="F59" s="321"/>
    </row>
    <row r="60" spans="1:6" ht="12.75">
      <c r="A60" s="53"/>
      <c r="B60" s="53"/>
      <c r="C60" s="53"/>
      <c r="D60" s="184"/>
      <c r="E60" s="184"/>
      <c r="F60" s="184"/>
    </row>
    <row r="61" spans="1:6" ht="73.5" customHeight="1">
      <c r="A61" s="189"/>
      <c r="B61" s="190" t="s">
        <v>4</v>
      </c>
      <c r="C61" s="190" t="s">
        <v>45</v>
      </c>
      <c r="D61" s="190" t="s">
        <v>6</v>
      </c>
      <c r="E61" s="190" t="s">
        <v>93</v>
      </c>
      <c r="F61" s="184"/>
    </row>
    <row r="62" spans="1:6" ht="24" customHeight="1">
      <c r="A62" s="313" t="s">
        <v>47</v>
      </c>
      <c r="B62" s="319"/>
      <c r="C62" s="320"/>
      <c r="D62" s="233">
        <f>SUM(D63:D64)</f>
        <v>559.66</v>
      </c>
      <c r="E62" s="233">
        <f>SUM(E63:E64)</f>
        <v>0.02</v>
      </c>
      <c r="F62" s="184"/>
    </row>
    <row r="63" spans="1:6" ht="25.5" customHeight="1">
      <c r="A63" s="191" t="s">
        <v>48</v>
      </c>
      <c r="B63" s="235" t="s">
        <v>9</v>
      </c>
      <c r="C63" s="235" t="s">
        <v>49</v>
      </c>
      <c r="D63" s="236">
        <v>279.83</v>
      </c>
      <c r="E63" s="237">
        <v>0.01</v>
      </c>
      <c r="F63" s="184"/>
    </row>
    <row r="64" spans="1:6" ht="27" customHeight="1">
      <c r="A64" s="191" t="s">
        <v>50</v>
      </c>
      <c r="B64" s="235" t="s">
        <v>51</v>
      </c>
      <c r="C64" s="235" t="s">
        <v>52</v>
      </c>
      <c r="D64" s="236">
        <v>279.83</v>
      </c>
      <c r="E64" s="189">
        <v>0.01</v>
      </c>
      <c r="F64" s="184"/>
    </row>
    <row r="65" spans="1:6" ht="27" customHeight="1">
      <c r="A65" s="313" t="s">
        <v>53</v>
      </c>
      <c r="B65" s="314"/>
      <c r="C65" s="315"/>
      <c r="D65" s="238">
        <f>SUM(D66:D68)</f>
        <v>8394.844000000001</v>
      </c>
      <c r="E65" s="238">
        <f>SUM(E66:E68)</f>
        <v>0.3</v>
      </c>
      <c r="F65" s="184"/>
    </row>
    <row r="66" spans="1:6" ht="25.5" customHeight="1">
      <c r="A66" s="191" t="s">
        <v>54</v>
      </c>
      <c r="B66" s="235" t="s">
        <v>55</v>
      </c>
      <c r="C66" s="235" t="s">
        <v>247</v>
      </c>
      <c r="D66" s="236">
        <v>559.66</v>
      </c>
      <c r="E66" s="237">
        <v>0.02</v>
      </c>
      <c r="F66" s="184"/>
    </row>
    <row r="67" spans="1:6" ht="26.25" customHeight="1">
      <c r="A67" s="191" t="s">
        <v>56</v>
      </c>
      <c r="B67" s="240" t="s">
        <v>57</v>
      </c>
      <c r="C67" s="240" t="s">
        <v>58</v>
      </c>
      <c r="D67" s="252">
        <f>E67*D3*12</f>
        <v>6156.216</v>
      </c>
      <c r="E67" s="237">
        <v>0.22</v>
      </c>
      <c r="F67" s="184"/>
    </row>
    <row r="68" spans="1:6" ht="22.5" customHeight="1">
      <c r="A68" s="191" t="s">
        <v>59</v>
      </c>
      <c r="B68" s="241" t="s">
        <v>17</v>
      </c>
      <c r="C68" s="189" t="s">
        <v>52</v>
      </c>
      <c r="D68" s="253">
        <f>E68*12*D3</f>
        <v>1678.968</v>
      </c>
      <c r="E68" s="237">
        <v>0.06</v>
      </c>
      <c r="F68" s="184"/>
    </row>
    <row r="69" spans="1:6" ht="12.75">
      <c r="A69" s="189"/>
      <c r="B69" s="242" t="s">
        <v>36</v>
      </c>
      <c r="C69" s="189"/>
      <c r="D69" s="234">
        <f>D62+D65</f>
        <v>8954.504</v>
      </c>
      <c r="E69" s="234">
        <f>E62+E65</f>
        <v>0.32</v>
      </c>
      <c r="F69" s="184"/>
    </row>
    <row r="70" spans="1:6" ht="12.75">
      <c r="A70" s="184"/>
      <c r="B70" s="184"/>
      <c r="C70" s="184"/>
      <c r="D70" s="184"/>
      <c r="E70" s="184"/>
      <c r="F70" s="184"/>
    </row>
    <row r="71" spans="1:6" ht="12.75">
      <c r="A71" s="218"/>
      <c r="B71" s="218"/>
      <c r="C71" s="218"/>
      <c r="D71" s="218"/>
      <c r="E71" s="218"/>
      <c r="F71" s="219"/>
    </row>
    <row r="72" spans="1:6" ht="56.25">
      <c r="A72" s="220" t="s">
        <v>3</v>
      </c>
      <c r="B72" s="220" t="s">
        <v>121</v>
      </c>
      <c r="C72" s="220" t="s">
        <v>37</v>
      </c>
      <c r="D72" s="220" t="s">
        <v>38</v>
      </c>
      <c r="E72" s="220" t="s">
        <v>39</v>
      </c>
      <c r="F72" s="220" t="s">
        <v>40</v>
      </c>
    </row>
    <row r="73" spans="1:6" ht="12.75">
      <c r="A73" s="221">
        <v>1</v>
      </c>
      <c r="B73" s="189" t="s">
        <v>41</v>
      </c>
      <c r="C73" s="221" t="s">
        <v>299</v>
      </c>
      <c r="D73" s="221">
        <v>6250</v>
      </c>
      <c r="E73" s="222">
        <f>D73/12/2332</f>
        <v>0.2233419096626644</v>
      </c>
      <c r="F73" s="223">
        <v>2</v>
      </c>
    </row>
    <row r="74" spans="1:6" ht="12.75">
      <c r="A74" s="221">
        <v>2</v>
      </c>
      <c r="B74" s="224" t="s">
        <v>270</v>
      </c>
      <c r="C74" s="221" t="s">
        <v>249</v>
      </c>
      <c r="D74" s="221">
        <v>5000</v>
      </c>
      <c r="E74" s="222">
        <f>D74/12/2332</f>
        <v>0.1786735277301315</v>
      </c>
      <c r="F74" s="221">
        <v>2</v>
      </c>
    </row>
    <row r="75" spans="1:6" ht="12.75">
      <c r="A75" s="221">
        <v>3</v>
      </c>
      <c r="B75" s="224" t="s">
        <v>272</v>
      </c>
      <c r="C75" s="221" t="s">
        <v>300</v>
      </c>
      <c r="D75" s="221">
        <v>392</v>
      </c>
      <c r="E75" s="222">
        <f>D75/12/2332</f>
        <v>0.01400800457404231</v>
      </c>
      <c r="F75" s="221">
        <v>2</v>
      </c>
    </row>
    <row r="76" spans="1:6" ht="12.75">
      <c r="A76" s="243"/>
      <c r="B76" s="244" t="s">
        <v>36</v>
      </c>
      <c r="C76" s="244"/>
      <c r="D76" s="244">
        <f>D73+D74+D75</f>
        <v>11642</v>
      </c>
      <c r="E76" s="245">
        <f>E73+E74+E75</f>
        <v>0.4160234419668382</v>
      </c>
      <c r="F76" s="244"/>
    </row>
    <row r="79" spans="1:5" ht="15.75">
      <c r="A79" s="182" t="s">
        <v>75</v>
      </c>
      <c r="B79" s="185" t="s">
        <v>273</v>
      </c>
      <c r="D79" s="276">
        <v>487.2</v>
      </c>
      <c r="E79" s="277" t="s">
        <v>82</v>
      </c>
    </row>
    <row r="81" spans="1:6" ht="24.75" customHeight="1">
      <c r="A81" s="321" t="s">
        <v>62</v>
      </c>
      <c r="B81" s="321"/>
      <c r="C81" s="321"/>
      <c r="D81" s="321"/>
      <c r="E81" s="321"/>
      <c r="F81" s="184"/>
    </row>
    <row r="82" spans="1:6" ht="12.75">
      <c r="A82" s="53"/>
      <c r="B82" s="53"/>
      <c r="C82" s="53"/>
      <c r="D82" s="53"/>
      <c r="E82" s="53"/>
      <c r="F82" s="184"/>
    </row>
    <row r="83" spans="1:6" ht="63.75">
      <c r="A83" s="189"/>
      <c r="B83" s="190" t="s">
        <v>4</v>
      </c>
      <c r="C83" s="190" t="s">
        <v>5</v>
      </c>
      <c r="D83" s="190" t="s">
        <v>6</v>
      </c>
      <c r="E83" s="190" t="s">
        <v>93</v>
      </c>
      <c r="F83" s="184"/>
    </row>
    <row r="84" spans="1:6" ht="12.75">
      <c r="A84" s="322" t="s">
        <v>170</v>
      </c>
      <c r="B84" s="317"/>
      <c r="C84" s="318"/>
      <c r="D84" s="275">
        <f>SUM(D85:D86)</f>
        <v>4483.116513257267</v>
      </c>
      <c r="E84" s="275">
        <f>SUM(E85:E86)</f>
        <v>0.766816590253364</v>
      </c>
      <c r="F84" s="184"/>
    </row>
    <row r="85" spans="1:6" ht="25.5">
      <c r="A85" s="191" t="s">
        <v>48</v>
      </c>
      <c r="B85" s="192" t="s">
        <v>9</v>
      </c>
      <c r="C85" s="193" t="s">
        <v>10</v>
      </c>
      <c r="D85" s="197">
        <f>E85*12*$D$79</f>
        <v>2241.145378462911</v>
      </c>
      <c r="E85" s="197">
        <v>0.38333767420342624</v>
      </c>
      <c r="F85" s="184"/>
    </row>
    <row r="86" spans="1:6" ht="12.75">
      <c r="A86" s="191" t="s">
        <v>75</v>
      </c>
      <c r="B86" s="192" t="s">
        <v>171</v>
      </c>
      <c r="C86" s="192" t="s">
        <v>11</v>
      </c>
      <c r="D86" s="197">
        <f>E86*12*$D$79</f>
        <v>2241.9711347943557</v>
      </c>
      <c r="E86" s="197">
        <v>0.3834789160499378</v>
      </c>
      <c r="F86" s="184"/>
    </row>
    <row r="87" spans="1:6" ht="12.75">
      <c r="A87" s="316" t="s">
        <v>223</v>
      </c>
      <c r="B87" s="317"/>
      <c r="C87" s="318"/>
      <c r="D87" s="275">
        <f>SUM(D88:D93)</f>
        <v>12580.363707872117</v>
      </c>
      <c r="E87" s="275">
        <f>SUM(E88:E93)</f>
        <v>2.1518137157690402</v>
      </c>
      <c r="F87" s="194" t="e">
        <f>E88+E89+E90+E91+#REF!+#REF!+E92+#REF!+E93</f>
        <v>#REF!</v>
      </c>
    </row>
    <row r="88" spans="1:6" ht="12.75">
      <c r="A88" s="191" t="s">
        <v>74</v>
      </c>
      <c r="B88" s="189" t="s">
        <v>57</v>
      </c>
      <c r="C88" s="193" t="s">
        <v>10</v>
      </c>
      <c r="D88" s="197">
        <f>E88*12*$D$79</f>
        <v>447.8903182337875</v>
      </c>
      <c r="E88" s="197">
        <v>0.0766095919255931</v>
      </c>
      <c r="F88" s="195">
        <f>D88+D89+D90+D91+D92+D93</f>
        <v>12580.363707872117</v>
      </c>
    </row>
    <row r="89" spans="1:6" ht="12.75">
      <c r="A89" s="191" t="s">
        <v>130</v>
      </c>
      <c r="B89" s="189" t="s">
        <v>250</v>
      </c>
      <c r="C89" s="193" t="s">
        <v>10</v>
      </c>
      <c r="D89" s="197">
        <f aca="true" t="shared" si="1" ref="D89:D96">E89*12*$D$79</f>
        <v>7493.543968075888</v>
      </c>
      <c r="E89" s="197">
        <v>1.281736447741497</v>
      </c>
      <c r="F89" s="196">
        <f>E88+E89+E90+E91+E92+E93</f>
        <v>2.1518137157690402</v>
      </c>
    </row>
    <row r="90" spans="1:6" ht="25.5">
      <c r="A90" s="191" t="s">
        <v>131</v>
      </c>
      <c r="B90" s="189" t="s">
        <v>66</v>
      </c>
      <c r="C90" s="192" t="s">
        <v>224</v>
      </c>
      <c r="D90" s="197">
        <f t="shared" si="1"/>
        <v>554.635676633486</v>
      </c>
      <c r="E90" s="197">
        <v>0.09486789761793345</v>
      </c>
      <c r="F90" s="184"/>
    </row>
    <row r="91" spans="1:6" ht="51">
      <c r="A91" s="191" t="s">
        <v>133</v>
      </c>
      <c r="B91" s="193" t="s">
        <v>79</v>
      </c>
      <c r="C91" s="193" t="s">
        <v>16</v>
      </c>
      <c r="D91" s="197">
        <f>E91*12*$D$79</f>
        <v>2958.0569420452603</v>
      </c>
      <c r="E91" s="197">
        <v>0.5059621206289786</v>
      </c>
      <c r="F91" s="184"/>
    </row>
    <row r="92" spans="1:6" ht="12.75">
      <c r="A92" s="191" t="s">
        <v>141</v>
      </c>
      <c r="B92" s="192" t="s">
        <v>17</v>
      </c>
      <c r="C92" s="192" t="s">
        <v>18</v>
      </c>
      <c r="D92" s="197">
        <f t="shared" si="1"/>
        <v>701.9161209901033</v>
      </c>
      <c r="E92" s="197">
        <v>0.12005954450432801</v>
      </c>
      <c r="F92" s="184"/>
    </row>
    <row r="93" spans="1:6" ht="12.75">
      <c r="A93" s="191" t="s">
        <v>135</v>
      </c>
      <c r="B93" s="192" t="s">
        <v>98</v>
      </c>
      <c r="C93" s="192" t="s">
        <v>13</v>
      </c>
      <c r="D93" s="197">
        <f t="shared" si="1"/>
        <v>424.32068189359217</v>
      </c>
      <c r="E93" s="197">
        <v>0.07257811335071021</v>
      </c>
      <c r="F93" s="198"/>
    </row>
    <row r="94" spans="1:6" ht="12.75">
      <c r="A94" s="316" t="s">
        <v>225</v>
      </c>
      <c r="B94" s="317"/>
      <c r="C94" s="318"/>
      <c r="D94" s="275">
        <f>D95+D96</f>
        <v>2250.864</v>
      </c>
      <c r="E94" s="275">
        <f>E95+E96</f>
        <v>0.385</v>
      </c>
      <c r="F94" s="196" t="e">
        <f>E95+E96+#REF!</f>
        <v>#REF!</v>
      </c>
    </row>
    <row r="95" spans="1:6" ht="12.75">
      <c r="A95" s="191" t="s">
        <v>136</v>
      </c>
      <c r="B95" s="189" t="s">
        <v>26</v>
      </c>
      <c r="C95" s="193" t="s">
        <v>101</v>
      </c>
      <c r="D95" s="197">
        <f t="shared" si="1"/>
        <v>2057.9328</v>
      </c>
      <c r="E95" s="197">
        <v>0.35200000000000004</v>
      </c>
      <c r="F95" s="198"/>
    </row>
    <row r="96" spans="1:6" ht="25.5">
      <c r="A96" s="191" t="s">
        <v>104</v>
      </c>
      <c r="B96" s="192" t="s">
        <v>28</v>
      </c>
      <c r="C96" s="192" t="s">
        <v>103</v>
      </c>
      <c r="D96" s="197">
        <f t="shared" si="1"/>
        <v>192.93120000000002</v>
      </c>
      <c r="E96" s="197">
        <v>0.033</v>
      </c>
      <c r="F96" s="198"/>
    </row>
    <row r="97" spans="1:6" ht="12.75">
      <c r="A97" s="200" t="s">
        <v>226</v>
      </c>
      <c r="B97" s="201"/>
      <c r="C97" s="202"/>
      <c r="D97" s="275">
        <f>SUM(D98:D101)</f>
        <v>7170.609600000001</v>
      </c>
      <c r="E97" s="275">
        <f>SUM(E98:E101)</f>
        <v>1.2265000000000001</v>
      </c>
      <c r="F97" s="198"/>
    </row>
    <row r="98" spans="1:6" ht="12.75">
      <c r="A98" s="191" t="s">
        <v>105</v>
      </c>
      <c r="B98" s="203" t="s">
        <v>21</v>
      </c>
      <c r="C98" s="192" t="s">
        <v>13</v>
      </c>
      <c r="D98" s="197">
        <f>E98*12*$D$79</f>
        <v>90.03456000000001</v>
      </c>
      <c r="E98" s="197">
        <v>0.015400000000000002</v>
      </c>
      <c r="F98" s="249"/>
    </row>
    <row r="99" spans="1:6" ht="25.5">
      <c r="A99" s="191" t="s">
        <v>106</v>
      </c>
      <c r="B99" s="192" t="s">
        <v>22</v>
      </c>
      <c r="C99" s="192" t="s">
        <v>13</v>
      </c>
      <c r="D99" s="197">
        <f aca="true" t="shared" si="2" ref="D99:D104">E99*12*$D$79</f>
        <v>803.88</v>
      </c>
      <c r="E99" s="197">
        <v>0.1375</v>
      </c>
      <c r="F99" s="195">
        <f>E98+E99+E100+E101</f>
        <v>1.2265000000000001</v>
      </c>
    </row>
    <row r="100" spans="1:6" ht="25.5">
      <c r="A100" s="191" t="s">
        <v>107</v>
      </c>
      <c r="B100" s="192" t="s">
        <v>23</v>
      </c>
      <c r="C100" s="192" t="s">
        <v>13</v>
      </c>
      <c r="D100" s="197">
        <f t="shared" si="2"/>
        <v>102.89663999999999</v>
      </c>
      <c r="E100" s="197">
        <v>0.0176</v>
      </c>
      <c r="F100" s="195">
        <f>D98+D99+D100+D101</f>
        <v>7170.609600000001</v>
      </c>
    </row>
    <row r="101" spans="1:6" ht="76.5">
      <c r="A101" s="191" t="s">
        <v>110</v>
      </c>
      <c r="B101" s="192" t="s">
        <v>108</v>
      </c>
      <c r="C101" s="192" t="s">
        <v>13</v>
      </c>
      <c r="D101" s="197">
        <f t="shared" si="2"/>
        <v>6173.798400000001</v>
      </c>
      <c r="E101" s="197">
        <v>1.056</v>
      </c>
      <c r="F101" s="195">
        <f>E98+E99+E100+E101</f>
        <v>1.2265000000000001</v>
      </c>
    </row>
    <row r="102" spans="1:6" ht="12.75">
      <c r="A102" s="316" t="s">
        <v>231</v>
      </c>
      <c r="B102" s="317"/>
      <c r="C102" s="318"/>
      <c r="D102" s="275">
        <f>D103+D104</f>
        <v>10301.885548416001</v>
      </c>
      <c r="E102" s="275">
        <f>E103+E104</f>
        <v>1.7620904400000004</v>
      </c>
      <c r="F102" s="184"/>
    </row>
    <row r="103" spans="1:6" ht="63.75">
      <c r="A103" s="191" t="s">
        <v>153</v>
      </c>
      <c r="B103" s="192" t="s">
        <v>88</v>
      </c>
      <c r="C103" s="192" t="s">
        <v>13</v>
      </c>
      <c r="D103" s="197">
        <f t="shared" si="2"/>
        <v>643.104</v>
      </c>
      <c r="E103" s="197">
        <v>0.11</v>
      </c>
      <c r="F103" s="184"/>
    </row>
    <row r="104" spans="1:6" ht="12.75">
      <c r="A104" s="324">
        <v>16</v>
      </c>
      <c r="B104" s="326" t="s">
        <v>71</v>
      </c>
      <c r="C104" s="326" t="s">
        <v>112</v>
      </c>
      <c r="D104" s="328">
        <f t="shared" si="2"/>
        <v>9658.781548416002</v>
      </c>
      <c r="E104" s="328">
        <v>1.6520904400000003</v>
      </c>
      <c r="F104" s="184"/>
    </row>
    <row r="105" spans="1:6" ht="79.5" customHeight="1">
      <c r="A105" s="325"/>
      <c r="B105" s="327"/>
      <c r="C105" s="327"/>
      <c r="D105" s="329"/>
      <c r="E105" s="329"/>
      <c r="F105" s="184"/>
    </row>
    <row r="106" spans="1:6" ht="18" customHeight="1">
      <c r="A106" s="316" t="s">
        <v>234</v>
      </c>
      <c r="B106" s="317"/>
      <c r="C106" s="318"/>
      <c r="D106" s="275">
        <f>D107</f>
        <v>643.104</v>
      </c>
      <c r="E106" s="275">
        <f>E107</f>
        <v>0.11</v>
      </c>
      <c r="F106" s="184"/>
    </row>
    <row r="107" spans="1:6" ht="12.75">
      <c r="A107" s="206" t="s">
        <v>117</v>
      </c>
      <c r="B107" s="207" t="s">
        <v>274</v>
      </c>
      <c r="C107" s="189" t="s">
        <v>115</v>
      </c>
      <c r="D107" s="197">
        <f>E107*12*$D$79</f>
        <v>643.104</v>
      </c>
      <c r="E107" s="197">
        <v>0.11</v>
      </c>
      <c r="F107" s="184"/>
    </row>
    <row r="108" spans="1:6" ht="12.75">
      <c r="A108" s="316" t="s">
        <v>236</v>
      </c>
      <c r="B108" s="323"/>
      <c r="C108" s="323"/>
      <c r="D108" s="275">
        <f>D109</f>
        <v>385.86240000000004</v>
      </c>
      <c r="E108" s="275">
        <f>E109</f>
        <v>0.066</v>
      </c>
      <c r="F108" s="184"/>
    </row>
    <row r="109" spans="1:6" ht="25.5">
      <c r="A109" s="191" t="s">
        <v>118</v>
      </c>
      <c r="B109" s="192" t="s">
        <v>32</v>
      </c>
      <c r="C109" s="192" t="s">
        <v>103</v>
      </c>
      <c r="D109" s="197">
        <f>E109*12*$D$79</f>
        <v>385.86240000000004</v>
      </c>
      <c r="E109" s="197">
        <v>0.066</v>
      </c>
      <c r="F109" s="184"/>
    </row>
    <row r="110" spans="1:6" ht="12.75">
      <c r="A110" s="210"/>
      <c r="B110" s="211" t="s">
        <v>120</v>
      </c>
      <c r="C110" s="211"/>
      <c r="D110" s="250">
        <f>D84+D87+D94+D97+D102+D106+D108</f>
        <v>37815.80576954538</v>
      </c>
      <c r="E110" s="251">
        <f>E108+E106+E102+E97+E94+E87+E84</f>
        <v>6.468220746022404</v>
      </c>
      <c r="F110" s="212"/>
    </row>
    <row r="111" spans="1:7" ht="15">
      <c r="A111" s="213"/>
      <c r="B111" s="214"/>
      <c r="C111" s="215"/>
      <c r="D111" s="216"/>
      <c r="E111" s="217"/>
      <c r="F111" s="196"/>
      <c r="G111" s="209"/>
    </row>
    <row r="112" spans="1:6" ht="12.75">
      <c r="A112" s="218"/>
      <c r="B112" s="218"/>
      <c r="C112" s="218"/>
      <c r="D112" s="218"/>
      <c r="E112" s="218"/>
      <c r="F112" s="219"/>
    </row>
    <row r="113" spans="1:6" ht="56.25">
      <c r="A113" s="220" t="s">
        <v>3</v>
      </c>
      <c r="B113" s="220" t="s">
        <v>121</v>
      </c>
      <c r="C113" s="220" t="s">
        <v>37</v>
      </c>
      <c r="D113" s="220" t="s">
        <v>38</v>
      </c>
      <c r="E113" s="220" t="s">
        <v>39</v>
      </c>
      <c r="F113" s="220" t="s">
        <v>40</v>
      </c>
    </row>
    <row r="114" spans="1:6" ht="12.75">
      <c r="A114" s="221">
        <v>1</v>
      </c>
      <c r="B114" s="189" t="s">
        <v>41</v>
      </c>
      <c r="C114" s="221" t="s">
        <v>158</v>
      </c>
      <c r="D114" s="221">
        <v>11000</v>
      </c>
      <c r="E114" s="222">
        <f>D114/12/$D$79</f>
        <v>1.8814997263273125</v>
      </c>
      <c r="F114" s="223">
        <v>2</v>
      </c>
    </row>
    <row r="115" spans="1:6" ht="12.75">
      <c r="A115" s="221">
        <v>2</v>
      </c>
      <c r="B115" s="224" t="s">
        <v>270</v>
      </c>
      <c r="C115" s="221" t="s">
        <v>275</v>
      </c>
      <c r="D115" s="221">
        <v>1100</v>
      </c>
      <c r="E115" s="222">
        <f>D115/12/$D$79</f>
        <v>0.18814997263273125</v>
      </c>
      <c r="F115" s="221">
        <v>2</v>
      </c>
    </row>
    <row r="116" spans="1:6" ht="12.75">
      <c r="A116" s="221">
        <v>3</v>
      </c>
      <c r="B116" s="224" t="s">
        <v>272</v>
      </c>
      <c r="C116" s="221" t="s">
        <v>298</v>
      </c>
      <c r="D116" s="221">
        <v>762.08</v>
      </c>
      <c r="E116" s="222">
        <f>D116/12/$D$79</f>
        <v>0.1303503010399562</v>
      </c>
      <c r="F116" s="221">
        <v>2</v>
      </c>
    </row>
    <row r="117" spans="1:6" ht="12.75">
      <c r="A117" s="221"/>
      <c r="B117" s="225" t="s">
        <v>43</v>
      </c>
      <c r="C117" s="226"/>
      <c r="D117" s="227">
        <f>D114+D115+D116</f>
        <v>12862.08</v>
      </c>
      <c r="E117" s="228">
        <f>SUM(E114:E116)</f>
        <v>2.1999999999999997</v>
      </c>
      <c r="F117" s="229"/>
    </row>
    <row r="118" spans="1:6" ht="12.75">
      <c r="A118" s="213"/>
      <c r="B118" s="214"/>
      <c r="C118" s="230"/>
      <c r="D118" s="230"/>
      <c r="E118" s="230"/>
      <c r="F118" s="230"/>
    </row>
    <row r="119" spans="1:6" ht="25.5">
      <c r="A119" s="213"/>
      <c r="B119" s="214" t="s">
        <v>125</v>
      </c>
      <c r="C119" s="231">
        <f>D110+D117</f>
        <v>50677.885769545384</v>
      </c>
      <c r="D119" s="231"/>
      <c r="E119" s="231"/>
      <c r="F119" s="230"/>
    </row>
    <row r="120" spans="1:6" ht="12.75">
      <c r="A120" s="213"/>
      <c r="B120" s="214" t="s">
        <v>216</v>
      </c>
      <c r="C120" s="232">
        <f>E110+E117</f>
        <v>8.668220746022405</v>
      </c>
      <c r="D120" s="230"/>
      <c r="E120" s="230"/>
      <c r="F120" s="230"/>
    </row>
    <row r="121" spans="1:6" ht="12.75">
      <c r="A121" s="184"/>
      <c r="B121" s="184"/>
      <c r="C121" s="184"/>
      <c r="D121" s="184"/>
      <c r="E121" s="184"/>
      <c r="F121" s="184"/>
    </row>
    <row r="122" spans="1:6" ht="31.5" customHeight="1">
      <c r="A122" s="321" t="s">
        <v>217</v>
      </c>
      <c r="B122" s="321"/>
      <c r="C122" s="321"/>
      <c r="D122" s="321"/>
      <c r="E122" s="321"/>
      <c r="F122" s="321"/>
    </row>
    <row r="123" spans="1:6" ht="12.75">
      <c r="A123" s="53"/>
      <c r="B123" s="53"/>
      <c r="C123" s="53"/>
      <c r="D123" s="184"/>
      <c r="E123" s="184"/>
      <c r="F123" s="184"/>
    </row>
    <row r="124" spans="1:6" ht="63.75">
      <c r="A124" s="189"/>
      <c r="B124" s="190" t="s">
        <v>4</v>
      </c>
      <c r="C124" s="190" t="s">
        <v>45</v>
      </c>
      <c r="D124" s="190" t="s">
        <v>6</v>
      </c>
      <c r="E124" s="190" t="s">
        <v>93</v>
      </c>
      <c r="F124" s="184"/>
    </row>
    <row r="125" spans="1:6" ht="12.75">
      <c r="A125" s="313" t="s">
        <v>47</v>
      </c>
      <c r="B125" s="319"/>
      <c r="C125" s="320"/>
      <c r="D125" s="233"/>
      <c r="E125" s="234"/>
      <c r="F125" s="184"/>
    </row>
    <row r="126" spans="1:6" ht="25.5">
      <c r="A126" s="191" t="s">
        <v>48</v>
      </c>
      <c r="B126" s="235" t="s">
        <v>9</v>
      </c>
      <c r="C126" s="235" t="s">
        <v>49</v>
      </c>
      <c r="D126" s="236">
        <f>E126*12*487</f>
        <v>58.44</v>
      </c>
      <c r="E126" s="237">
        <v>0.01</v>
      </c>
      <c r="F126" s="184"/>
    </row>
    <row r="127" spans="1:6" ht="25.5">
      <c r="A127" s="191" t="s">
        <v>50</v>
      </c>
      <c r="B127" s="235" t="s">
        <v>51</v>
      </c>
      <c r="C127" s="235" t="s">
        <v>52</v>
      </c>
      <c r="D127" s="236">
        <f>E127*12*487</f>
        <v>58.44</v>
      </c>
      <c r="E127" s="189">
        <v>0.01</v>
      </c>
      <c r="F127" s="184"/>
    </row>
    <row r="128" spans="1:6" ht="12.75">
      <c r="A128" s="313" t="s">
        <v>53</v>
      </c>
      <c r="B128" s="314"/>
      <c r="C128" s="315"/>
      <c r="D128" s="238"/>
      <c r="E128" s="239"/>
      <c r="F128" s="184"/>
    </row>
    <row r="129" spans="1:6" ht="25.5">
      <c r="A129" s="191" t="s">
        <v>54</v>
      </c>
      <c r="B129" s="235" t="s">
        <v>55</v>
      </c>
      <c r="C129" s="235" t="s">
        <v>127</v>
      </c>
      <c r="D129" s="252">
        <f>E129*12*487.2</f>
        <v>116.928</v>
      </c>
      <c r="E129" s="237">
        <v>0.02</v>
      </c>
      <c r="F129" s="184"/>
    </row>
    <row r="130" spans="1:6" ht="25.5">
      <c r="A130" s="191" t="s">
        <v>56</v>
      </c>
      <c r="B130" s="240" t="s">
        <v>57</v>
      </c>
      <c r="C130" s="240" t="s">
        <v>58</v>
      </c>
      <c r="D130" s="252">
        <f>E130*12*487.2</f>
        <v>1286.208</v>
      </c>
      <c r="E130" s="237">
        <v>0.22</v>
      </c>
      <c r="F130" s="184"/>
    </row>
    <row r="131" spans="1:6" ht="25.5">
      <c r="A131" s="191" t="s">
        <v>59</v>
      </c>
      <c r="B131" s="241" t="s">
        <v>17</v>
      </c>
      <c r="C131" s="189" t="s">
        <v>52</v>
      </c>
      <c r="D131" s="252">
        <f>E131*12*487.2</f>
        <v>350.784</v>
      </c>
      <c r="E131" s="237">
        <v>0.06</v>
      </c>
      <c r="F131" s="184"/>
    </row>
    <row r="132" spans="1:6" ht="12.75">
      <c r="A132" s="189"/>
      <c r="B132" s="242" t="s">
        <v>36</v>
      </c>
      <c r="C132" s="189"/>
      <c r="D132" s="234">
        <f>D126+D127+D129+D130+D131</f>
        <v>1870.8000000000002</v>
      </c>
      <c r="E132" s="234">
        <f>E126+E127+E129+E130+E131</f>
        <v>0.32</v>
      </c>
      <c r="F132" s="184"/>
    </row>
    <row r="133" spans="1:6" ht="12.75">
      <c r="A133" s="184"/>
      <c r="B133" s="184"/>
      <c r="C133" s="184"/>
      <c r="D133" s="184"/>
      <c r="E133" s="184"/>
      <c r="F133" s="184"/>
    </row>
    <row r="134" spans="1:6" ht="12.75">
      <c r="A134" s="218"/>
      <c r="B134" s="218"/>
      <c r="C134" s="218"/>
      <c r="D134" s="218"/>
      <c r="E134" s="218"/>
      <c r="F134" s="219"/>
    </row>
    <row r="135" spans="1:6" ht="56.25">
      <c r="A135" s="220" t="s">
        <v>3</v>
      </c>
      <c r="B135" s="220" t="s">
        <v>121</v>
      </c>
      <c r="C135" s="220" t="s">
        <v>37</v>
      </c>
      <c r="D135" s="220" t="s">
        <v>38</v>
      </c>
      <c r="E135" s="220" t="s">
        <v>39</v>
      </c>
      <c r="F135" s="220" t="s">
        <v>40</v>
      </c>
    </row>
    <row r="136" spans="1:6" ht="12.75">
      <c r="A136" s="221">
        <v>1</v>
      </c>
      <c r="B136" s="189" t="s">
        <v>41</v>
      </c>
      <c r="C136" s="221" t="s">
        <v>159</v>
      </c>
      <c r="D136" s="221">
        <v>1000</v>
      </c>
      <c r="E136" s="222">
        <f>D136/12/487.2</f>
        <v>0.17104542966611933</v>
      </c>
      <c r="F136" s="223">
        <v>2</v>
      </c>
    </row>
    <row r="137" spans="1:6" ht="12.75">
      <c r="A137" s="221">
        <v>2</v>
      </c>
      <c r="B137" s="224" t="s">
        <v>270</v>
      </c>
      <c r="C137" s="221" t="s">
        <v>276</v>
      </c>
      <c r="D137" s="221">
        <v>500</v>
      </c>
      <c r="E137" s="222">
        <f>D137/12/487.2</f>
        <v>0.08552271483305966</v>
      </c>
      <c r="F137" s="221">
        <v>2</v>
      </c>
    </row>
    <row r="138" spans="1:6" ht="12.75">
      <c r="A138" s="243"/>
      <c r="B138" s="244" t="s">
        <v>36</v>
      </c>
      <c r="C138" s="244"/>
      <c r="D138" s="244">
        <f>D136+D137</f>
        <v>1500</v>
      </c>
      <c r="E138" s="254">
        <f>D138/12/487.2</f>
        <v>0.256568144499179</v>
      </c>
      <c r="F138" s="244"/>
    </row>
    <row r="141" spans="2:3" ht="25.5">
      <c r="B141" s="214" t="s">
        <v>277</v>
      </c>
      <c r="C141" s="255">
        <f>C119+C56</f>
        <v>364099.1903086014</v>
      </c>
    </row>
  </sheetData>
  <mergeCells count="32">
    <mergeCell ref="A2:E2"/>
    <mergeCell ref="A5:E5"/>
    <mergeCell ref="A8:C8"/>
    <mergeCell ref="A11:A12"/>
    <mergeCell ref="A43:C43"/>
    <mergeCell ref="A59:F59"/>
    <mergeCell ref="A18:C18"/>
    <mergeCell ref="A28:C28"/>
    <mergeCell ref="A37:C37"/>
    <mergeCell ref="A39:A40"/>
    <mergeCell ref="B39:B40"/>
    <mergeCell ref="C39:C40"/>
    <mergeCell ref="D39:D40"/>
    <mergeCell ref="E39:E40"/>
    <mergeCell ref="A108:C108"/>
    <mergeCell ref="A122:F122"/>
    <mergeCell ref="A125:C125"/>
    <mergeCell ref="A104:A105"/>
    <mergeCell ref="B104:B105"/>
    <mergeCell ref="C104:C105"/>
    <mergeCell ref="D104:D105"/>
    <mergeCell ref="E104:E105"/>
    <mergeCell ref="A128:C128"/>
    <mergeCell ref="A94:C94"/>
    <mergeCell ref="A102:C102"/>
    <mergeCell ref="A41:C41"/>
    <mergeCell ref="A106:C106"/>
    <mergeCell ref="A62:C62"/>
    <mergeCell ref="A65:C65"/>
    <mergeCell ref="A81:E81"/>
    <mergeCell ref="A84:C84"/>
    <mergeCell ref="A87:C8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G22" sqref="G22"/>
    </sheetView>
  </sheetViews>
  <sheetFormatPr defaultColWidth="9.00390625" defaultRowHeight="12.75"/>
  <cols>
    <col min="1" max="1" width="3.75390625" style="182" customWidth="1"/>
    <col min="2" max="2" width="43.375" style="182" customWidth="1"/>
    <col min="3" max="3" width="17.625" style="182" customWidth="1"/>
    <col min="4" max="4" width="9.625" style="182" customWidth="1"/>
    <col min="5" max="5" width="10.875" style="182" customWidth="1"/>
    <col min="6" max="6" width="9.125" style="182" customWidth="1"/>
    <col min="7" max="7" width="10.625" style="182" customWidth="1"/>
    <col min="8" max="16384" width="9.125" style="182" customWidth="1"/>
  </cols>
  <sheetData>
    <row r="1" ht="12.75">
      <c r="C1" s="183"/>
    </row>
    <row r="2" spans="1:6" ht="15.75">
      <c r="A2" s="330" t="s">
        <v>251</v>
      </c>
      <c r="B2" s="330"/>
      <c r="C2" s="330"/>
      <c r="D2" s="330"/>
      <c r="E2" s="330"/>
      <c r="F2" s="184"/>
    </row>
    <row r="3" spans="1:6" ht="26.25" customHeight="1">
      <c r="A3" s="184"/>
      <c r="B3" s="185" t="s">
        <v>252</v>
      </c>
      <c r="C3" s="186"/>
      <c r="D3" s="276">
        <v>7524.5</v>
      </c>
      <c r="E3" s="187" t="s">
        <v>82</v>
      </c>
      <c r="F3" s="184"/>
    </row>
    <row r="4" spans="1:6" ht="12.75" customHeight="1">
      <c r="A4" s="184"/>
      <c r="B4" s="188"/>
      <c r="C4" s="184"/>
      <c r="D4" s="184"/>
      <c r="E4" s="184"/>
      <c r="F4" s="184"/>
    </row>
    <row r="5" spans="1:6" ht="27.75" customHeight="1">
      <c r="A5" s="321" t="s">
        <v>62</v>
      </c>
      <c r="B5" s="321"/>
      <c r="C5" s="321"/>
      <c r="D5" s="321"/>
      <c r="E5" s="321"/>
      <c r="F5" s="184"/>
    </row>
    <row r="6" spans="1:6" ht="12.75">
      <c r="A6" s="53"/>
      <c r="B6" s="53"/>
      <c r="C6" s="53"/>
      <c r="D6" s="53"/>
      <c r="E6" s="53"/>
      <c r="F6" s="184"/>
    </row>
    <row r="7" spans="1:6" ht="48.75" customHeight="1">
      <c r="A7" s="189"/>
      <c r="B7" s="190" t="s">
        <v>4</v>
      </c>
      <c r="C7" s="190" t="s">
        <v>5</v>
      </c>
      <c r="D7" s="190" t="s">
        <v>6</v>
      </c>
      <c r="E7" s="190" t="s">
        <v>93</v>
      </c>
      <c r="F7" s="184"/>
    </row>
    <row r="8" spans="1:6" ht="14.25" customHeight="1">
      <c r="A8" s="322" t="s">
        <v>170</v>
      </c>
      <c r="B8" s="317"/>
      <c r="C8" s="318"/>
      <c r="D8" s="275">
        <f>SUM(D9:D13)</f>
        <v>71800.52671229199</v>
      </c>
      <c r="E8" s="275">
        <f>SUM(E9:E13)</f>
        <v>0.795186022463198</v>
      </c>
      <c r="F8" s="184"/>
    </row>
    <row r="9" spans="1:6" ht="27.75" customHeight="1">
      <c r="A9" s="191" t="s">
        <v>48</v>
      </c>
      <c r="B9" s="192" t="s">
        <v>9</v>
      </c>
      <c r="C9" s="193" t="s">
        <v>10</v>
      </c>
      <c r="D9" s="197">
        <f>$D$3*E9*12</f>
        <v>34477.311078996405</v>
      </c>
      <c r="E9" s="197">
        <v>0.381833910104729</v>
      </c>
      <c r="F9" s="195">
        <f>D9+D10+D11+D12+D13</f>
        <v>71800.52671229199</v>
      </c>
    </row>
    <row r="10" spans="1:6" ht="12.75">
      <c r="A10" s="246" t="s">
        <v>75</v>
      </c>
      <c r="B10" s="247" t="s">
        <v>253</v>
      </c>
      <c r="C10" s="248" t="s">
        <v>11</v>
      </c>
      <c r="D10" s="197">
        <f aca="true" t="shared" si="0" ref="D10:D26">$D$3*E10*12</f>
        <v>1207.5193874825115</v>
      </c>
      <c r="E10" s="197">
        <v>0.013373196308531149</v>
      </c>
      <c r="F10" s="196">
        <f>E10+E11+E12+E13+E9</f>
        <v>0.7951860224631979</v>
      </c>
    </row>
    <row r="11" spans="1:6" ht="19.5" customHeight="1">
      <c r="A11" s="191" t="s">
        <v>59</v>
      </c>
      <c r="B11" s="192" t="s">
        <v>171</v>
      </c>
      <c r="C11" s="192" t="s">
        <v>11</v>
      </c>
      <c r="D11" s="197">
        <f t="shared" si="0"/>
        <v>34625.84524581308</v>
      </c>
      <c r="E11" s="197">
        <v>0.3834789160499378</v>
      </c>
      <c r="F11" s="184"/>
    </row>
    <row r="12" spans="1:6" ht="21.75" customHeight="1">
      <c r="A12" s="191" t="s">
        <v>95</v>
      </c>
      <c r="B12" s="192" t="s">
        <v>254</v>
      </c>
      <c r="C12" s="192" t="s">
        <v>12</v>
      </c>
      <c r="D12" s="197">
        <f t="shared" si="0"/>
        <v>695.2638000000002</v>
      </c>
      <c r="E12" s="197">
        <v>0.007700000000000001</v>
      </c>
      <c r="F12" s="184"/>
    </row>
    <row r="13" spans="1:6" ht="17.25" customHeight="1">
      <c r="A13" s="191" t="s">
        <v>141</v>
      </c>
      <c r="B13" s="192" t="s">
        <v>174</v>
      </c>
      <c r="C13" s="192" t="s">
        <v>13</v>
      </c>
      <c r="D13" s="197">
        <f t="shared" si="0"/>
        <v>794.5872000000002</v>
      </c>
      <c r="E13" s="197">
        <v>0.0088</v>
      </c>
      <c r="F13" s="184"/>
    </row>
    <row r="14" spans="1:6" ht="26.25" customHeight="1">
      <c r="A14" s="316" t="s">
        <v>223</v>
      </c>
      <c r="B14" s="317"/>
      <c r="C14" s="318"/>
      <c r="D14" s="275">
        <f>SUM(D15:D22)</f>
        <v>183217.0226311979</v>
      </c>
      <c r="E14" s="275">
        <f>SUM(E15:E22)</f>
        <v>2.029116249487207</v>
      </c>
      <c r="F14" s="194" t="e">
        <f>E15+E16+E18+E19+#REF!+E20+E21+#REF!+E22</f>
        <v>#REF!</v>
      </c>
    </row>
    <row r="15" spans="1:6" ht="15" customHeight="1">
      <c r="A15" s="191" t="s">
        <v>135</v>
      </c>
      <c r="B15" s="189" t="s">
        <v>57</v>
      </c>
      <c r="C15" s="193" t="s">
        <v>10</v>
      </c>
      <c r="D15" s="197">
        <f t="shared" si="0"/>
        <v>15295.803600000003</v>
      </c>
      <c r="E15" s="197">
        <v>0.16940000000000002</v>
      </c>
      <c r="F15" s="195">
        <f>D15+D16+D17+D18+D19+D20+D21+D22</f>
        <v>183217.0226311979</v>
      </c>
    </row>
    <row r="16" spans="1:6" ht="15" customHeight="1">
      <c r="A16" s="191" t="s">
        <v>136</v>
      </c>
      <c r="B16" s="189" t="s">
        <v>250</v>
      </c>
      <c r="C16" s="193" t="s">
        <v>10</v>
      </c>
      <c r="D16" s="197">
        <f t="shared" si="0"/>
        <v>9833.0166</v>
      </c>
      <c r="E16" s="197">
        <v>0.10890000000000001</v>
      </c>
      <c r="F16" s="196">
        <f>E15+E16+E17+E18+E19+E20+E21+E22</f>
        <v>2.029116249487207</v>
      </c>
    </row>
    <row r="17" spans="1:6" ht="15" customHeight="1">
      <c r="A17" s="191">
        <v>10</v>
      </c>
      <c r="B17" s="189" t="s">
        <v>149</v>
      </c>
      <c r="C17" s="193" t="s">
        <v>150</v>
      </c>
      <c r="D17" s="197">
        <f t="shared" si="0"/>
        <v>10329.633600000001</v>
      </c>
      <c r="E17" s="197">
        <v>0.1144</v>
      </c>
      <c r="F17" s="196">
        <f>E15+E16+E17+E18+E19+E20+E21+E22</f>
        <v>2.029116249487207</v>
      </c>
    </row>
    <row r="18" spans="1:6" ht="22.5" customHeight="1">
      <c r="A18" s="191" t="s">
        <v>105</v>
      </c>
      <c r="B18" s="189" t="s">
        <v>66</v>
      </c>
      <c r="C18" s="192" t="s">
        <v>224</v>
      </c>
      <c r="D18" s="197">
        <f t="shared" si="0"/>
        <v>18970.7694</v>
      </c>
      <c r="E18" s="197">
        <v>0.2101</v>
      </c>
      <c r="F18" s="184"/>
    </row>
    <row r="19" spans="1:6" ht="52.5" customHeight="1">
      <c r="A19" s="191" t="s">
        <v>106</v>
      </c>
      <c r="B19" s="193" t="s">
        <v>79</v>
      </c>
      <c r="C19" s="193" t="s">
        <v>16</v>
      </c>
      <c r="D19" s="197">
        <f t="shared" si="0"/>
        <v>101210.5446</v>
      </c>
      <c r="E19" s="197">
        <v>1.1209</v>
      </c>
      <c r="F19" s="184"/>
    </row>
    <row r="20" spans="1:6" ht="16.5" customHeight="1">
      <c r="A20" s="191" t="s">
        <v>110</v>
      </c>
      <c r="B20" s="192" t="s">
        <v>96</v>
      </c>
      <c r="C20" s="192" t="s">
        <v>12</v>
      </c>
      <c r="D20" s="197">
        <f t="shared" si="0"/>
        <v>993.2340000000002</v>
      </c>
      <c r="E20" s="197">
        <v>0.011000000000000001</v>
      </c>
      <c r="F20" s="184"/>
    </row>
    <row r="21" spans="1:6" ht="15.75" customHeight="1">
      <c r="A21" s="191" t="s">
        <v>153</v>
      </c>
      <c r="B21" s="192" t="s">
        <v>17</v>
      </c>
      <c r="C21" s="192" t="s">
        <v>18</v>
      </c>
      <c r="D21" s="197">
        <f t="shared" si="0"/>
        <v>25526.113800000003</v>
      </c>
      <c r="E21" s="197">
        <v>0.2827</v>
      </c>
      <c r="F21" s="184"/>
    </row>
    <row r="22" spans="1:7" ht="17.25" customHeight="1">
      <c r="A22" s="191" t="s">
        <v>117</v>
      </c>
      <c r="B22" s="192" t="s">
        <v>98</v>
      </c>
      <c r="C22" s="192" t="s">
        <v>13</v>
      </c>
      <c r="D22" s="197">
        <f t="shared" si="0"/>
        <v>1057.9070311979021</v>
      </c>
      <c r="E22" s="197">
        <v>0.01171624948720737</v>
      </c>
      <c r="F22" s="198"/>
      <c r="G22" s="199"/>
    </row>
    <row r="23" spans="1:7" ht="12.75" customHeight="1">
      <c r="A23" s="316" t="s">
        <v>255</v>
      </c>
      <c r="B23" s="317"/>
      <c r="C23" s="318"/>
      <c r="D23" s="275">
        <f>SUM(D24:D26)</f>
        <v>252919.22168885672</v>
      </c>
      <c r="E23" s="275">
        <f>SUM(E24:E26)</f>
        <v>2.801063433770314</v>
      </c>
      <c r="F23" s="196">
        <f>E24+E25+E26</f>
        <v>2.801063433770314</v>
      </c>
      <c r="G23" s="199"/>
    </row>
    <row r="24" spans="1:7" ht="15.75" customHeight="1">
      <c r="A24" s="191">
        <v>18</v>
      </c>
      <c r="B24" s="189" t="s">
        <v>26</v>
      </c>
      <c r="C24" s="193" t="s">
        <v>101</v>
      </c>
      <c r="D24" s="197">
        <f t="shared" si="0"/>
        <v>49661.700000000004</v>
      </c>
      <c r="E24" s="197">
        <v>0.55</v>
      </c>
      <c r="F24" s="198"/>
      <c r="G24" s="199"/>
    </row>
    <row r="25" spans="1:7" ht="22.5" customHeight="1">
      <c r="A25" s="191" t="s">
        <v>157</v>
      </c>
      <c r="B25" s="192" t="s">
        <v>28</v>
      </c>
      <c r="C25" s="192" t="s">
        <v>103</v>
      </c>
      <c r="D25" s="197">
        <f t="shared" si="0"/>
        <v>4966.17</v>
      </c>
      <c r="E25" s="197">
        <v>0.055</v>
      </c>
      <c r="F25" s="198"/>
      <c r="G25" s="199"/>
    </row>
    <row r="26" spans="1:7" ht="30.75" customHeight="1">
      <c r="A26" s="191" t="s">
        <v>256</v>
      </c>
      <c r="B26" s="192" t="s">
        <v>260</v>
      </c>
      <c r="C26" s="192" t="s">
        <v>101</v>
      </c>
      <c r="D26" s="197">
        <f t="shared" si="0"/>
        <v>198291.35168885672</v>
      </c>
      <c r="E26" s="197">
        <v>2.196063433770314</v>
      </c>
      <c r="F26" s="198"/>
      <c r="G26" s="199"/>
    </row>
    <row r="27" spans="1:7" ht="14.25" customHeight="1">
      <c r="A27" s="200" t="s">
        <v>226</v>
      </c>
      <c r="B27" s="201"/>
      <c r="C27" s="202"/>
      <c r="D27" s="275">
        <f>SUM(D28:D31)</f>
        <v>102680.31526078029</v>
      </c>
      <c r="E27" s="275">
        <f>SUM(E28:E31)</f>
        <v>1.1371776115885917</v>
      </c>
      <c r="F27" s="198"/>
      <c r="G27" s="199"/>
    </row>
    <row r="28" spans="1:7" ht="12.75">
      <c r="A28" s="191" t="s">
        <v>227</v>
      </c>
      <c r="B28" s="203" t="s">
        <v>21</v>
      </c>
      <c r="C28" s="192" t="s">
        <v>13</v>
      </c>
      <c r="D28" s="197">
        <f>E28*12*$D$3</f>
        <v>1370.4472607802968</v>
      </c>
      <c r="E28" s="197">
        <v>0.015177611588591676</v>
      </c>
      <c r="F28" s="249"/>
      <c r="G28" s="204"/>
    </row>
    <row r="29" spans="1:7" ht="29.25" customHeight="1">
      <c r="A29" s="191" t="s">
        <v>228</v>
      </c>
      <c r="B29" s="192" t="s">
        <v>22</v>
      </c>
      <c r="C29" s="192" t="s">
        <v>13</v>
      </c>
      <c r="D29" s="197">
        <f aca="true" t="shared" si="1" ref="D29:D34">E29*12*$D$3</f>
        <v>9932.34</v>
      </c>
      <c r="E29" s="197">
        <v>0.11</v>
      </c>
      <c r="F29" s="205"/>
      <c r="G29" s="199"/>
    </row>
    <row r="30" spans="1:7" ht="28.5" customHeight="1">
      <c r="A30" s="191" t="s">
        <v>229</v>
      </c>
      <c r="B30" s="192" t="s">
        <v>23</v>
      </c>
      <c r="C30" s="192" t="s">
        <v>13</v>
      </c>
      <c r="D30" s="197">
        <f t="shared" si="1"/>
        <v>1986.468</v>
      </c>
      <c r="E30" s="197">
        <v>0.022000000000000002</v>
      </c>
      <c r="F30" s="184"/>
      <c r="G30" s="282"/>
    </row>
    <row r="31" spans="1:7" ht="67.5" customHeight="1">
      <c r="A31" s="191" t="s">
        <v>230</v>
      </c>
      <c r="B31" s="192" t="s">
        <v>108</v>
      </c>
      <c r="C31" s="192" t="s">
        <v>13</v>
      </c>
      <c r="D31" s="197">
        <f t="shared" si="1"/>
        <v>89391.06</v>
      </c>
      <c r="E31" s="197">
        <v>0.99</v>
      </c>
      <c r="F31" s="205"/>
      <c r="G31" s="282"/>
    </row>
    <row r="32" spans="1:7" ht="17.25" customHeight="1">
      <c r="A32" s="316" t="s">
        <v>231</v>
      </c>
      <c r="B32" s="317"/>
      <c r="C32" s="318"/>
      <c r="D32" s="275">
        <f>SUM(D33:D35)</f>
        <v>155937.73799999998</v>
      </c>
      <c r="E32" s="275">
        <f>SUM(E33:E35)</f>
        <v>1.7269999999999999</v>
      </c>
      <c r="F32" s="184"/>
      <c r="G32" s="282"/>
    </row>
    <row r="33" spans="1:7" ht="66.75" customHeight="1">
      <c r="A33" s="191" t="s">
        <v>232</v>
      </c>
      <c r="B33" s="192" t="s">
        <v>88</v>
      </c>
      <c r="C33" s="192" t="s">
        <v>13</v>
      </c>
      <c r="D33" s="197">
        <f t="shared" si="1"/>
        <v>13905.276000000002</v>
      </c>
      <c r="E33" s="197">
        <v>0.15400000000000003</v>
      </c>
      <c r="F33" s="184"/>
      <c r="G33" s="282"/>
    </row>
    <row r="34" spans="1:6" ht="43.5" customHeight="1">
      <c r="A34" s="324" t="s">
        <v>233</v>
      </c>
      <c r="B34" s="326" t="s">
        <v>218</v>
      </c>
      <c r="C34" s="326" t="s">
        <v>112</v>
      </c>
      <c r="D34" s="331">
        <f t="shared" si="1"/>
        <v>142032.46199999997</v>
      </c>
      <c r="E34" s="331">
        <v>1.573</v>
      </c>
      <c r="F34" s="184"/>
    </row>
    <row r="35" spans="1:6" ht="52.5" customHeight="1">
      <c r="A35" s="325"/>
      <c r="B35" s="327"/>
      <c r="C35" s="327"/>
      <c r="D35" s="332"/>
      <c r="E35" s="332"/>
      <c r="F35" s="184"/>
    </row>
    <row r="36" spans="1:6" ht="16.5" customHeight="1">
      <c r="A36" s="316" t="s">
        <v>234</v>
      </c>
      <c r="B36" s="317"/>
      <c r="C36" s="318"/>
      <c r="D36" s="275">
        <f>D37</f>
        <v>11918.808</v>
      </c>
      <c r="E36" s="275">
        <f>E37</f>
        <v>0.132</v>
      </c>
      <c r="F36" s="184"/>
    </row>
    <row r="37" spans="1:6" ht="24" customHeight="1">
      <c r="A37" s="206" t="s">
        <v>235</v>
      </c>
      <c r="B37" s="207" t="s">
        <v>68</v>
      </c>
      <c r="C37" s="189" t="s">
        <v>115</v>
      </c>
      <c r="D37" s="197">
        <f>E37*12*$D$3</f>
        <v>11918.808</v>
      </c>
      <c r="E37" s="197">
        <v>0.132</v>
      </c>
      <c r="F37" s="184"/>
    </row>
    <row r="38" spans="1:6" ht="15.75" customHeight="1">
      <c r="A38" s="316" t="s">
        <v>236</v>
      </c>
      <c r="B38" s="323"/>
      <c r="C38" s="323"/>
      <c r="D38" s="275">
        <f>SUM(D39:D41)</f>
        <v>10477.16933252362</v>
      </c>
      <c r="E38" s="275">
        <f>E39+E40+E41</f>
        <v>0.11603394835231154</v>
      </c>
      <c r="F38" s="184"/>
    </row>
    <row r="39" spans="1:6" ht="25.5" customHeight="1">
      <c r="A39" s="191" t="s">
        <v>237</v>
      </c>
      <c r="B39" s="192" t="s">
        <v>32</v>
      </c>
      <c r="C39" s="192" t="s">
        <v>103</v>
      </c>
      <c r="D39" s="197">
        <f>E39*12*$D$3</f>
        <v>7237.3169232</v>
      </c>
      <c r="E39" s="197">
        <f>0.088-0.0114245+0.0035773</f>
        <v>0.0801528</v>
      </c>
      <c r="F39" s="184"/>
    </row>
    <row r="40" spans="1:7" ht="28.5" customHeight="1">
      <c r="A40" s="191" t="s">
        <v>238</v>
      </c>
      <c r="B40" s="192" t="s">
        <v>239</v>
      </c>
      <c r="C40" s="208" t="s">
        <v>13</v>
      </c>
      <c r="D40" s="197">
        <f>E40*12*$D$3</f>
        <v>993.234</v>
      </c>
      <c r="E40" s="197">
        <v>0.011000000000000001</v>
      </c>
      <c r="F40" s="184"/>
      <c r="G40" s="209"/>
    </row>
    <row r="41" spans="1:6" ht="27.75" customHeight="1">
      <c r="A41" s="191" t="s">
        <v>257</v>
      </c>
      <c r="B41" s="192" t="s">
        <v>35</v>
      </c>
      <c r="C41" s="192" t="s">
        <v>13</v>
      </c>
      <c r="D41" s="197">
        <f>E41*12*$D$3</f>
        <v>2246.618409323619</v>
      </c>
      <c r="E41" s="197">
        <v>0.024881148352311547</v>
      </c>
      <c r="F41" s="198"/>
    </row>
    <row r="42" spans="1:7" ht="12.75">
      <c r="A42" s="210"/>
      <c r="B42" s="211" t="s">
        <v>120</v>
      </c>
      <c r="C42" s="211"/>
      <c r="D42" s="250">
        <f>D38+D36+D32+D27+D23+D14+D8</f>
        <v>788950.8016256505</v>
      </c>
      <c r="E42" s="279">
        <f>E38+E36+E32+E27+E23+E14+E8</f>
        <v>8.737577265661622</v>
      </c>
      <c r="F42" s="212"/>
      <c r="G42" s="283"/>
    </row>
    <row r="43" spans="1:6" ht="15">
      <c r="A43" s="213"/>
      <c r="B43" s="214"/>
      <c r="C43" s="215"/>
      <c r="D43" s="216"/>
      <c r="E43" s="217"/>
      <c r="F43" s="196">
        <f>'[12]пр.Энтузиастов 44В'!AE42</f>
        <v>8.188761075304292</v>
      </c>
    </row>
    <row r="44" spans="1:6" ht="12.75">
      <c r="A44" s="218"/>
      <c r="B44" s="218"/>
      <c r="C44" s="218"/>
      <c r="D44" s="218"/>
      <c r="E44" s="218"/>
      <c r="F44" s="219"/>
    </row>
    <row r="45" spans="1:6" ht="44.25" customHeight="1">
      <c r="A45" s="220" t="s">
        <v>3</v>
      </c>
      <c r="B45" s="220" t="s">
        <v>121</v>
      </c>
      <c r="C45" s="220" t="s">
        <v>37</v>
      </c>
      <c r="D45" s="220" t="s">
        <v>38</v>
      </c>
      <c r="E45" s="220" t="s">
        <v>39</v>
      </c>
      <c r="F45" s="220" t="s">
        <v>40</v>
      </c>
    </row>
    <row r="46" spans="1:6" ht="21.75" customHeight="1">
      <c r="A46" s="221">
        <v>1</v>
      </c>
      <c r="B46" s="189" t="s">
        <v>41</v>
      </c>
      <c r="C46" s="221" t="s">
        <v>240</v>
      </c>
      <c r="D46" s="221">
        <v>66000</v>
      </c>
      <c r="E46" s="222">
        <f>D46/12/$D$3</f>
        <v>0.7309455777792544</v>
      </c>
      <c r="F46" s="223">
        <v>2</v>
      </c>
    </row>
    <row r="47" spans="1:6" ht="15" customHeight="1">
      <c r="A47" s="221" t="s">
        <v>75</v>
      </c>
      <c r="B47" s="189" t="s">
        <v>241</v>
      </c>
      <c r="C47" s="221" t="s">
        <v>242</v>
      </c>
      <c r="D47" s="221">
        <v>94035.7</v>
      </c>
      <c r="E47" s="222">
        <f>D47/12/$D$3</f>
        <v>1.0414390767935855</v>
      </c>
      <c r="F47" s="223">
        <v>2</v>
      </c>
    </row>
    <row r="48" spans="1:6" ht="12" customHeight="1">
      <c r="A48" s="221">
        <v>2</v>
      </c>
      <c r="B48" s="224" t="s">
        <v>243</v>
      </c>
      <c r="C48" s="221" t="s">
        <v>244</v>
      </c>
      <c r="D48" s="221">
        <v>23060.4</v>
      </c>
      <c r="E48" s="222">
        <f>D48/12/$D$3</f>
        <v>0.2553923848760715</v>
      </c>
      <c r="F48" s="221">
        <v>5</v>
      </c>
    </row>
    <row r="49" spans="1:6" ht="11.25" customHeight="1">
      <c r="A49" s="221">
        <v>3</v>
      </c>
      <c r="B49" s="224" t="s">
        <v>245</v>
      </c>
      <c r="C49" s="221" t="s">
        <v>246</v>
      </c>
      <c r="D49" s="221">
        <v>15550.7</v>
      </c>
      <c r="E49" s="222">
        <f>D49/12/$D$3</f>
        <v>0.17222296055108866</v>
      </c>
      <c r="F49" s="221">
        <v>5</v>
      </c>
    </row>
    <row r="50" spans="1:6" ht="12.75">
      <c r="A50" s="221"/>
      <c r="B50" s="225" t="s">
        <v>43</v>
      </c>
      <c r="C50" s="226"/>
      <c r="D50" s="284">
        <f>D46+D48+D49+D47</f>
        <v>198646.8</v>
      </c>
      <c r="E50" s="228">
        <f>SUM(E46:E49)</f>
        <v>2.1999999999999997</v>
      </c>
      <c r="F50" s="229"/>
    </row>
    <row r="51" spans="1:6" ht="12.75">
      <c r="A51" s="213"/>
      <c r="B51" s="214"/>
      <c r="C51" s="230"/>
      <c r="D51" s="230"/>
      <c r="E51" s="230"/>
      <c r="F51" s="230"/>
    </row>
    <row r="52" spans="1:6" ht="25.5">
      <c r="A52" s="213"/>
      <c r="B52" s="214" t="s">
        <v>304</v>
      </c>
      <c r="C52" s="231">
        <f>D42+D50</f>
        <v>987597.6016256504</v>
      </c>
      <c r="D52" s="231"/>
      <c r="E52" s="231"/>
      <c r="F52" s="230"/>
    </row>
    <row r="53" spans="1:6" ht="12.75">
      <c r="A53" s="213"/>
      <c r="B53" s="214" t="s">
        <v>216</v>
      </c>
      <c r="C53" s="232">
        <f>E42+E50</f>
        <v>10.937577265661622</v>
      </c>
      <c r="D53" s="230"/>
      <c r="E53" s="230"/>
      <c r="F53" s="230"/>
    </row>
    <row r="54" spans="1:6" ht="12.75">
      <c r="A54" s="184"/>
      <c r="B54" s="184"/>
      <c r="C54" s="184"/>
      <c r="D54" s="184"/>
      <c r="E54" s="184"/>
      <c r="F54" s="184"/>
    </row>
    <row r="55" spans="1:6" ht="36" customHeight="1">
      <c r="A55" s="321" t="s">
        <v>217</v>
      </c>
      <c r="B55" s="321"/>
      <c r="C55" s="321"/>
      <c r="D55" s="321"/>
      <c r="E55" s="321"/>
      <c r="F55" s="321"/>
    </row>
    <row r="56" spans="1:6" ht="12.75">
      <c r="A56" s="53"/>
      <c r="B56" s="53"/>
      <c r="C56" s="53"/>
      <c r="D56" s="184"/>
      <c r="E56" s="184"/>
      <c r="F56" s="184"/>
    </row>
    <row r="57" spans="1:6" ht="73.5" customHeight="1">
      <c r="A57" s="189"/>
      <c r="B57" s="190" t="s">
        <v>4</v>
      </c>
      <c r="C57" s="190" t="s">
        <v>45</v>
      </c>
      <c r="D57" s="190" t="s">
        <v>6</v>
      </c>
      <c r="E57" s="190" t="s">
        <v>93</v>
      </c>
      <c r="F57" s="184"/>
    </row>
    <row r="58" spans="1:6" ht="24" customHeight="1">
      <c r="A58" s="313" t="s">
        <v>47</v>
      </c>
      <c r="B58" s="319"/>
      <c r="C58" s="320"/>
      <c r="D58" s="233">
        <f>SUM(D59:D60)</f>
        <v>1805.88</v>
      </c>
      <c r="E58" s="233">
        <f>SUM(E59:E60)</f>
        <v>0.02</v>
      </c>
      <c r="F58" s="184"/>
    </row>
    <row r="59" spans="1:6" ht="25.5" customHeight="1">
      <c r="A59" s="191" t="s">
        <v>48</v>
      </c>
      <c r="B59" s="235" t="s">
        <v>9</v>
      </c>
      <c r="C59" s="235" t="s">
        <v>49</v>
      </c>
      <c r="D59" s="236">
        <f>E59*12*D3</f>
        <v>902.9399999999999</v>
      </c>
      <c r="E59" s="237">
        <v>0.01</v>
      </c>
      <c r="F59" s="184"/>
    </row>
    <row r="60" spans="1:6" ht="27" customHeight="1">
      <c r="A60" s="191" t="s">
        <v>50</v>
      </c>
      <c r="B60" s="235" t="s">
        <v>51</v>
      </c>
      <c r="C60" s="235" t="s">
        <v>52</v>
      </c>
      <c r="D60" s="236">
        <v>902.94</v>
      </c>
      <c r="E60" s="189">
        <v>0.01</v>
      </c>
      <c r="F60" s="184"/>
    </row>
    <row r="61" spans="1:6" ht="27" customHeight="1">
      <c r="A61" s="313" t="s">
        <v>53</v>
      </c>
      <c r="B61" s="314"/>
      <c r="C61" s="315"/>
      <c r="D61" s="233">
        <f>SUM(D62:D64)</f>
        <v>27088.56</v>
      </c>
      <c r="E61" s="280">
        <f>SUM(E62:E64)</f>
        <v>0.3</v>
      </c>
      <c r="F61" s="184"/>
    </row>
    <row r="62" spans="1:6" ht="25.5" customHeight="1">
      <c r="A62" s="191" t="s">
        <v>54</v>
      </c>
      <c r="B62" s="235" t="s">
        <v>55</v>
      </c>
      <c r="C62" s="235" t="s">
        <v>247</v>
      </c>
      <c r="D62" s="236">
        <f>E62*12*D3</f>
        <v>1805.8799999999999</v>
      </c>
      <c r="E62" s="237">
        <v>0.02</v>
      </c>
      <c r="F62" s="184"/>
    </row>
    <row r="63" spans="1:6" ht="26.25" customHeight="1">
      <c r="A63" s="191" t="s">
        <v>56</v>
      </c>
      <c r="B63" s="240" t="s">
        <v>57</v>
      </c>
      <c r="C63" s="240" t="s">
        <v>58</v>
      </c>
      <c r="D63" s="252">
        <f>E63*12*D3</f>
        <v>19864.68</v>
      </c>
      <c r="E63" s="237">
        <v>0.22</v>
      </c>
      <c r="F63" s="184"/>
    </row>
    <row r="64" spans="1:6" ht="22.5" customHeight="1">
      <c r="A64" s="191" t="s">
        <v>59</v>
      </c>
      <c r="B64" s="241" t="s">
        <v>17</v>
      </c>
      <c r="C64" s="189" t="s">
        <v>52</v>
      </c>
      <c r="D64" s="253">
        <f>E64*12*7525</f>
        <v>5418</v>
      </c>
      <c r="E64" s="237">
        <v>0.06</v>
      </c>
      <c r="F64" s="184"/>
    </row>
    <row r="65" spans="1:6" ht="12.75">
      <c r="A65" s="189"/>
      <c r="B65" s="242" t="s">
        <v>36</v>
      </c>
      <c r="C65" s="189"/>
      <c r="D65" s="281">
        <f>D58+D61</f>
        <v>28894.440000000002</v>
      </c>
      <c r="E65" s="234">
        <f>E58+E61</f>
        <v>0.32</v>
      </c>
      <c r="F65" s="184"/>
    </row>
    <row r="66" spans="1:6" ht="12.75">
      <c r="A66" s="184"/>
      <c r="B66" s="184"/>
      <c r="C66" s="184"/>
      <c r="D66" s="184"/>
      <c r="E66" s="184"/>
      <c r="F66" s="184"/>
    </row>
    <row r="67" spans="1:6" ht="12.75">
      <c r="A67" s="218"/>
      <c r="B67" s="218"/>
      <c r="C67" s="218"/>
      <c r="D67" s="218"/>
      <c r="E67" s="218"/>
      <c r="F67" s="219"/>
    </row>
    <row r="68" spans="1:6" ht="56.25">
      <c r="A68" s="220" t="s">
        <v>3</v>
      </c>
      <c r="B68" s="220" t="s">
        <v>121</v>
      </c>
      <c r="C68" s="220" t="s">
        <v>37</v>
      </c>
      <c r="D68" s="220" t="s">
        <v>38</v>
      </c>
      <c r="E68" s="220" t="s">
        <v>39</v>
      </c>
      <c r="F68" s="220" t="s">
        <v>40</v>
      </c>
    </row>
    <row r="69" spans="1:6" ht="12.75">
      <c r="A69" s="221">
        <v>1</v>
      </c>
      <c r="B69" s="189" t="s">
        <v>41</v>
      </c>
      <c r="C69" s="221" t="s">
        <v>258</v>
      </c>
      <c r="D69" s="221">
        <v>6000</v>
      </c>
      <c r="E69" s="222">
        <f>D69/12/D3</f>
        <v>0.06644959797993222</v>
      </c>
      <c r="F69" s="223">
        <v>2</v>
      </c>
    </row>
    <row r="70" spans="1:6" ht="12.75">
      <c r="A70" s="221">
        <v>2</v>
      </c>
      <c r="B70" s="224" t="s">
        <v>241</v>
      </c>
      <c r="C70" s="221" t="s">
        <v>259</v>
      </c>
      <c r="D70" s="221">
        <v>8549</v>
      </c>
      <c r="E70" s="222">
        <f>D70/12/D3</f>
        <v>0.09467960218840675</v>
      </c>
      <c r="F70" s="221">
        <v>2</v>
      </c>
    </row>
    <row r="71" spans="1:6" ht="12.75">
      <c r="A71" s="243"/>
      <c r="B71" s="244" t="s">
        <v>36</v>
      </c>
      <c r="C71" s="244"/>
      <c r="D71" s="244">
        <f>D69+D70</f>
        <v>14549</v>
      </c>
      <c r="E71" s="245">
        <f>E69+E70</f>
        <v>0.16112920016833898</v>
      </c>
      <c r="F71" s="244"/>
    </row>
    <row r="73" spans="2:3" ht="25.5">
      <c r="B73" s="214" t="s">
        <v>305</v>
      </c>
      <c r="C73" s="231">
        <v>987597.6016256504</v>
      </c>
    </row>
  </sheetData>
  <mergeCells count="16">
    <mergeCell ref="A58:C58"/>
    <mergeCell ref="A61:C61"/>
    <mergeCell ref="A55:F55"/>
    <mergeCell ref="A14:C14"/>
    <mergeCell ref="A23:C23"/>
    <mergeCell ref="A32:C32"/>
    <mergeCell ref="A34:A35"/>
    <mergeCell ref="B34:B35"/>
    <mergeCell ref="C34:C35"/>
    <mergeCell ref="A38:C38"/>
    <mergeCell ref="A36:C36"/>
    <mergeCell ref="A2:E2"/>
    <mergeCell ref="A5:E5"/>
    <mergeCell ref="A8:C8"/>
    <mergeCell ref="D34:D35"/>
    <mergeCell ref="E34:E3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09">
      <selection activeCell="C70" sqref="C70"/>
    </sheetView>
  </sheetViews>
  <sheetFormatPr defaultColWidth="9.00390625" defaultRowHeight="12.75"/>
  <cols>
    <col min="1" max="1" width="3.75390625" style="35" customWidth="1"/>
    <col min="2" max="2" width="43.375" style="35" customWidth="1"/>
    <col min="3" max="3" width="17.75390625" style="35" customWidth="1"/>
    <col min="4" max="4" width="11.00390625" style="35" customWidth="1"/>
    <col min="5" max="5" width="12.875" style="35" customWidth="1"/>
    <col min="6" max="16384" width="9.125" style="35" customWidth="1"/>
  </cols>
  <sheetData>
    <row r="1" spans="1:6" ht="15">
      <c r="A1" s="287" t="s">
        <v>183</v>
      </c>
      <c r="B1" s="287"/>
      <c r="C1" s="287"/>
      <c r="D1" s="287"/>
      <c r="E1" s="287"/>
      <c r="F1" s="41"/>
    </row>
    <row r="2" spans="1:6" ht="44.25" customHeight="1">
      <c r="A2" s="41"/>
      <c r="B2" s="36" t="s">
        <v>184</v>
      </c>
      <c r="C2" s="37"/>
      <c r="D2" s="125">
        <v>617</v>
      </c>
      <c r="E2" s="39" t="s">
        <v>82</v>
      </c>
      <c r="F2" s="41"/>
    </row>
    <row r="3" spans="1:6" ht="15">
      <c r="A3" s="41"/>
      <c r="B3" s="40"/>
      <c r="C3" s="41"/>
      <c r="D3" s="41"/>
      <c r="E3" s="41"/>
      <c r="F3" s="41"/>
    </row>
    <row r="4" spans="1:6" ht="30" customHeight="1">
      <c r="A4" s="287" t="s">
        <v>62</v>
      </c>
      <c r="B4" s="287"/>
      <c r="C4" s="287"/>
      <c r="D4" s="287"/>
      <c r="E4" s="287"/>
      <c r="F4" s="41"/>
    </row>
    <row r="5" spans="1:6" ht="15">
      <c r="A5" s="36"/>
      <c r="B5" s="36"/>
      <c r="C5" s="36"/>
      <c r="D5" s="36"/>
      <c r="E5" s="36"/>
      <c r="F5" s="41"/>
    </row>
    <row r="6" spans="1:6" ht="71.25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6" ht="31.5" customHeight="1">
      <c r="A7" s="289" t="s">
        <v>76</v>
      </c>
      <c r="B7" s="290"/>
      <c r="C7" s="290"/>
      <c r="D7" s="46">
        <f>SUM(D8:D14)</f>
        <v>14132.410410184215</v>
      </c>
      <c r="E7" s="46">
        <f>SUM(E8:E14)</f>
        <v>1.9087534319535677</v>
      </c>
      <c r="F7" s="47"/>
    </row>
    <row r="8" spans="1:6" ht="15.75" customHeight="1">
      <c r="A8" s="52">
        <v>1</v>
      </c>
      <c r="B8" s="50" t="s">
        <v>57</v>
      </c>
      <c r="C8" s="54" t="s">
        <v>10</v>
      </c>
      <c r="D8" s="55">
        <f aca="true" t="shared" si="0" ref="D8:D14">E8*$D$2*12</f>
        <v>756.5714835030192</v>
      </c>
      <c r="E8" s="58">
        <v>0.10218415498420032</v>
      </c>
      <c r="F8" s="41"/>
    </row>
    <row r="9" spans="1:6" ht="15.75" customHeight="1">
      <c r="A9" s="52">
        <v>2</v>
      </c>
      <c r="B9" s="42" t="s">
        <v>81</v>
      </c>
      <c r="C9" s="54" t="s">
        <v>10</v>
      </c>
      <c r="D9" s="55">
        <f t="shared" si="0"/>
        <v>4897.741155605147</v>
      </c>
      <c r="E9" s="58">
        <v>0.6614993457057194</v>
      </c>
      <c r="F9" s="41"/>
    </row>
    <row r="10" spans="1:6" ht="15.75" customHeight="1">
      <c r="A10" s="52">
        <v>3</v>
      </c>
      <c r="B10" s="42" t="s">
        <v>149</v>
      </c>
      <c r="C10" s="54" t="s">
        <v>150</v>
      </c>
      <c r="D10" s="55">
        <f t="shared" si="0"/>
        <v>2347.7728191895467</v>
      </c>
      <c r="E10" s="58">
        <v>0.3170951943800036</v>
      </c>
      <c r="F10" s="41"/>
    </row>
    <row r="11" spans="1:6" ht="30">
      <c r="A11" s="52">
        <v>4</v>
      </c>
      <c r="B11" s="42" t="s">
        <v>66</v>
      </c>
      <c r="C11" s="56" t="s">
        <v>15</v>
      </c>
      <c r="D11" s="55">
        <f t="shared" si="0"/>
        <v>886.4266617624467</v>
      </c>
      <c r="E11" s="55">
        <v>0.1197226717669431</v>
      </c>
      <c r="F11" s="41"/>
    </row>
    <row r="12" spans="1:6" ht="60">
      <c r="A12" s="52">
        <v>5</v>
      </c>
      <c r="B12" s="54" t="s">
        <v>79</v>
      </c>
      <c r="C12" s="54" t="s">
        <v>16</v>
      </c>
      <c r="D12" s="55">
        <f t="shared" si="0"/>
        <v>4727.608862733055</v>
      </c>
      <c r="E12" s="55">
        <v>0.638520916090364</v>
      </c>
      <c r="F12" s="41"/>
    </row>
    <row r="13" spans="1:6" ht="15.75" customHeight="1">
      <c r="A13" s="52">
        <v>6</v>
      </c>
      <c r="B13" s="56" t="s">
        <v>17</v>
      </c>
      <c r="C13" s="56" t="s">
        <v>18</v>
      </c>
      <c r="D13" s="55">
        <f t="shared" si="0"/>
        <v>117.05057433115066</v>
      </c>
      <c r="E13" s="58">
        <v>0.015809099720576803</v>
      </c>
      <c r="F13" s="41"/>
    </row>
    <row r="14" spans="1:6" ht="15.75" customHeight="1">
      <c r="A14" s="52">
        <v>7</v>
      </c>
      <c r="B14" s="56" t="s">
        <v>98</v>
      </c>
      <c r="C14" s="56" t="s">
        <v>13</v>
      </c>
      <c r="D14" s="55">
        <f t="shared" si="0"/>
        <v>399.2388530598497</v>
      </c>
      <c r="E14" s="55">
        <v>0.053922049305760354</v>
      </c>
      <c r="F14" s="60"/>
    </row>
    <row r="15" spans="1:6" ht="15">
      <c r="A15" s="291" t="s">
        <v>99</v>
      </c>
      <c r="B15" s="259"/>
      <c r="C15" s="260"/>
      <c r="D15" s="46">
        <f>SUM(D16:D17)</f>
        <v>7105.361675103475</v>
      </c>
      <c r="E15" s="46">
        <f>SUM(E16:E17)</f>
        <v>0.9596652721641645</v>
      </c>
      <c r="F15" s="62"/>
    </row>
    <row r="16" spans="1:6" ht="15.75" customHeight="1">
      <c r="A16" s="52">
        <v>8</v>
      </c>
      <c r="B16" s="42" t="s">
        <v>26</v>
      </c>
      <c r="C16" s="54" t="s">
        <v>101</v>
      </c>
      <c r="D16" s="55">
        <f>E16*$D$2*12</f>
        <v>6500.788357825686</v>
      </c>
      <c r="E16" s="64">
        <v>0.8780103130504707</v>
      </c>
      <c r="F16" s="60"/>
    </row>
    <row r="17" spans="1:6" ht="30">
      <c r="A17" s="52">
        <v>9</v>
      </c>
      <c r="B17" s="56" t="s">
        <v>28</v>
      </c>
      <c r="C17" s="56" t="s">
        <v>103</v>
      </c>
      <c r="D17" s="55">
        <f>E17*$D$2*12</f>
        <v>604.5733172777889</v>
      </c>
      <c r="E17" s="55">
        <v>0.08165495911369379</v>
      </c>
      <c r="F17" s="60"/>
    </row>
    <row r="18" spans="1:6" ht="15">
      <c r="A18" s="291" t="s">
        <v>20</v>
      </c>
      <c r="B18" s="292"/>
      <c r="C18" s="293"/>
      <c r="D18" s="65">
        <f>SUM(D19:D22)</f>
        <v>8648.779443305322</v>
      </c>
      <c r="E18" s="65">
        <f>SUM(E19:E22)</f>
        <v>1.1681225612243815</v>
      </c>
      <c r="F18" s="60"/>
    </row>
    <row r="19" spans="1:6" ht="16.5" customHeight="1">
      <c r="A19" s="52">
        <v>10</v>
      </c>
      <c r="B19" s="56" t="s">
        <v>21</v>
      </c>
      <c r="C19" s="56" t="s">
        <v>13</v>
      </c>
      <c r="D19" s="55">
        <f>E19*12*$D$2</f>
        <v>94.38045990249884</v>
      </c>
      <c r="E19" s="58">
        <v>0.01274722581071027</v>
      </c>
      <c r="F19" s="47"/>
    </row>
    <row r="20" spans="1:6" ht="30">
      <c r="A20" s="52">
        <v>11</v>
      </c>
      <c r="B20" s="56" t="s">
        <v>22</v>
      </c>
      <c r="C20" s="56" t="s">
        <v>13</v>
      </c>
      <c r="D20" s="55">
        <f>E20*12*$D$2</f>
        <v>1162.3826758073667</v>
      </c>
      <c r="E20" s="58">
        <v>0.1569938784180668</v>
      </c>
      <c r="F20" s="67"/>
    </row>
    <row r="21" spans="1:6" ht="30">
      <c r="A21" s="52">
        <v>12</v>
      </c>
      <c r="B21" s="56" t="s">
        <v>23</v>
      </c>
      <c r="C21" s="56" t="s">
        <v>13</v>
      </c>
      <c r="D21" s="55">
        <f>E21*12*$D$2</f>
        <v>166.29100354440882</v>
      </c>
      <c r="E21" s="58">
        <v>0.02245961690227024</v>
      </c>
      <c r="F21" s="41"/>
    </row>
    <row r="22" spans="1:6" ht="90">
      <c r="A22" s="52">
        <v>13</v>
      </c>
      <c r="B22" s="56" t="s">
        <v>108</v>
      </c>
      <c r="C22" s="56" t="s">
        <v>13</v>
      </c>
      <c r="D22" s="55">
        <f>E22*12*$D$2</f>
        <v>7225.725304051048</v>
      </c>
      <c r="E22" s="55">
        <v>0.9759218400933343</v>
      </c>
      <c r="F22" s="41"/>
    </row>
    <row r="23" spans="1:6" ht="15">
      <c r="A23" s="289" t="s">
        <v>109</v>
      </c>
      <c r="B23" s="290"/>
      <c r="C23" s="290"/>
      <c r="D23" s="68">
        <f>SUM(D24:D25)</f>
        <v>14770.381219185409</v>
      </c>
      <c r="E23" s="68">
        <f>SUM(E24:E25)</f>
        <v>1.9949191273886289</v>
      </c>
      <c r="F23" s="41"/>
    </row>
    <row r="24" spans="1:6" ht="75">
      <c r="A24" s="69">
        <v>14</v>
      </c>
      <c r="B24" s="56" t="s">
        <v>88</v>
      </c>
      <c r="C24" s="56" t="s">
        <v>13</v>
      </c>
      <c r="D24" s="55">
        <f>E24*12*$D$2</f>
        <v>2496.153739926968</v>
      </c>
      <c r="E24" s="55">
        <v>0.3371358373753333</v>
      </c>
      <c r="F24" s="41"/>
    </row>
    <row r="25" spans="1:6" ht="102.75" customHeight="1">
      <c r="A25" s="52">
        <v>15</v>
      </c>
      <c r="B25" s="56" t="s">
        <v>71</v>
      </c>
      <c r="C25" s="56" t="s">
        <v>112</v>
      </c>
      <c r="D25" s="55">
        <f>E25*12*$D$2</f>
        <v>12274.227479258441</v>
      </c>
      <c r="E25" s="64">
        <v>1.6577832900132956</v>
      </c>
      <c r="F25" s="41"/>
    </row>
    <row r="26" spans="1:6" ht="15">
      <c r="A26" s="289" t="s">
        <v>155</v>
      </c>
      <c r="B26" s="289"/>
      <c r="C26" s="289"/>
      <c r="D26" s="70">
        <f>SUM(D27)</f>
        <v>3295.908000000002</v>
      </c>
      <c r="E26" s="70">
        <f>SUM(E27)</f>
        <v>0.44515235008103754</v>
      </c>
      <c r="F26" s="41"/>
    </row>
    <row r="27" spans="1:6" ht="15">
      <c r="A27" s="52">
        <v>16</v>
      </c>
      <c r="B27" s="56" t="s">
        <v>68</v>
      </c>
      <c r="C27" s="56" t="s">
        <v>115</v>
      </c>
      <c r="D27" s="55">
        <f>E27*12*$D$2</f>
        <v>3295.908000000002</v>
      </c>
      <c r="E27" s="101">
        <v>0.44515235008103754</v>
      </c>
      <c r="F27" s="41"/>
    </row>
    <row r="28" spans="1:6" ht="15">
      <c r="A28" s="289" t="s">
        <v>156</v>
      </c>
      <c r="B28" s="289"/>
      <c r="C28" s="289"/>
      <c r="D28" s="70">
        <f>SUM(D29:D30)</f>
        <v>518.9084439120238</v>
      </c>
      <c r="E28" s="70">
        <f>SUM(E29:E30)</f>
        <v>0.07008487897245054</v>
      </c>
      <c r="F28" s="41"/>
    </row>
    <row r="29" spans="1:6" ht="30">
      <c r="A29" s="52">
        <v>17</v>
      </c>
      <c r="B29" s="56" t="s">
        <v>32</v>
      </c>
      <c r="C29" s="56" t="s">
        <v>103</v>
      </c>
      <c r="D29" s="55">
        <f>E29*12*$D$2</f>
        <v>441.0721769244238</v>
      </c>
      <c r="E29" s="64">
        <v>0.05957214707245054</v>
      </c>
      <c r="F29" s="41"/>
    </row>
    <row r="30" spans="1:6" ht="45">
      <c r="A30" s="52">
        <v>18</v>
      </c>
      <c r="B30" s="56" t="s">
        <v>33</v>
      </c>
      <c r="C30" s="56" t="s">
        <v>34</v>
      </c>
      <c r="D30" s="55">
        <f>E30*12*$D$2</f>
        <v>77.8362669876</v>
      </c>
      <c r="E30" s="55">
        <v>0.0105127319</v>
      </c>
      <c r="F30" s="41"/>
    </row>
    <row r="31" spans="1:6" ht="15">
      <c r="A31" s="43"/>
      <c r="B31" s="71" t="s">
        <v>120</v>
      </c>
      <c r="C31" s="71"/>
      <c r="D31" s="72">
        <f>D7+D15+D18+D23+D26+D28-0.2</f>
        <v>48471.54919169045</v>
      </c>
      <c r="E31" s="46">
        <f>E7+E15+E18+E23+E26+E28</f>
        <v>6.546697621784231</v>
      </c>
      <c r="F31" s="39"/>
    </row>
    <row r="32" spans="1:6" ht="15">
      <c r="A32" s="73"/>
      <c r="B32" s="74"/>
      <c r="C32" s="75"/>
      <c r="D32" s="76"/>
      <c r="E32" s="77"/>
      <c r="F32" s="41"/>
    </row>
    <row r="33" spans="1:6" ht="15">
      <c r="A33" s="78"/>
      <c r="B33" s="78"/>
      <c r="C33" s="78"/>
      <c r="D33" s="78"/>
      <c r="E33" s="78"/>
      <c r="F33" s="79"/>
    </row>
    <row r="34" spans="1:6" ht="105">
      <c r="A34" s="45" t="s">
        <v>3</v>
      </c>
      <c r="B34" s="45" t="s">
        <v>121</v>
      </c>
      <c r="C34" s="45" t="s">
        <v>122</v>
      </c>
      <c r="D34" s="45" t="s">
        <v>38</v>
      </c>
      <c r="E34" s="45" t="s">
        <v>185</v>
      </c>
      <c r="F34" s="45" t="s">
        <v>40</v>
      </c>
    </row>
    <row r="35" spans="1:6" ht="15">
      <c r="A35" s="45">
        <v>1</v>
      </c>
      <c r="B35" s="42" t="s">
        <v>41</v>
      </c>
      <c r="C35" s="45" t="s">
        <v>186</v>
      </c>
      <c r="D35" s="45">
        <v>16288.8</v>
      </c>
      <c r="E35" s="80">
        <f>D35/12/D2</f>
        <v>2.1999999999999997</v>
      </c>
      <c r="F35" s="81">
        <v>2</v>
      </c>
    </row>
    <row r="36" spans="1:6" ht="15">
      <c r="A36" s="45"/>
      <c r="B36" s="49" t="s">
        <v>36</v>
      </c>
      <c r="C36" s="44"/>
      <c r="D36" s="122">
        <f>SUM(D35)</f>
        <v>16288.8</v>
      </c>
      <c r="E36" s="82">
        <f>SUM(E35:E35)</f>
        <v>2.1999999999999997</v>
      </c>
      <c r="F36" s="83"/>
    </row>
    <row r="37" spans="1:6" ht="15">
      <c r="A37" s="73"/>
      <c r="B37" s="74"/>
      <c r="C37" s="84"/>
      <c r="D37" s="84"/>
      <c r="E37" s="84"/>
      <c r="F37" s="84"/>
    </row>
    <row r="38" spans="1:6" ht="29.25">
      <c r="A38" s="73"/>
      <c r="B38" s="74" t="s">
        <v>125</v>
      </c>
      <c r="C38" s="85">
        <f>D31+D36</f>
        <v>64760.349191690446</v>
      </c>
      <c r="D38" s="85"/>
      <c r="E38" s="85"/>
      <c r="F38" s="84"/>
    </row>
    <row r="39" spans="1:6" ht="15">
      <c r="A39" s="73"/>
      <c r="B39" s="74" t="s">
        <v>126</v>
      </c>
      <c r="C39" s="86">
        <f>E31+E36</f>
        <v>8.74669762178423</v>
      </c>
      <c r="D39" s="84"/>
      <c r="E39" s="84"/>
      <c r="F39" s="84"/>
    </row>
    <row r="40" spans="1:6" ht="15">
      <c r="A40" s="73"/>
      <c r="B40" s="74"/>
      <c r="C40" s="86"/>
      <c r="D40" s="84"/>
      <c r="E40" s="84"/>
      <c r="F40" s="84"/>
    </row>
    <row r="41" spans="1:6" ht="15">
      <c r="A41" s="41"/>
      <c r="B41" s="41"/>
      <c r="C41" s="41"/>
      <c r="D41" s="41"/>
      <c r="E41" s="41"/>
      <c r="F41" s="41"/>
    </row>
    <row r="42" spans="1:6" ht="33" customHeight="1">
      <c r="A42" s="287" t="s">
        <v>44</v>
      </c>
      <c r="B42" s="287"/>
      <c r="C42" s="287"/>
      <c r="D42" s="287"/>
      <c r="E42" s="287"/>
      <c r="F42" s="287"/>
    </row>
    <row r="43" spans="1:6" ht="15">
      <c r="A43" s="36"/>
      <c r="B43" s="36"/>
      <c r="C43" s="36"/>
      <c r="D43" s="41"/>
      <c r="E43" s="41"/>
      <c r="F43" s="41"/>
    </row>
    <row r="44" spans="1:6" ht="79.5" customHeight="1">
      <c r="A44" s="42"/>
      <c r="B44" s="43" t="s">
        <v>4</v>
      </c>
      <c r="C44" s="43" t="s">
        <v>5</v>
      </c>
      <c r="D44" s="43" t="s">
        <v>6</v>
      </c>
      <c r="E44" s="43" t="s">
        <v>93</v>
      </c>
      <c r="F44" s="41"/>
    </row>
    <row r="45" spans="1:5" ht="15" customHeight="1">
      <c r="A45" s="288" t="s">
        <v>47</v>
      </c>
      <c r="B45" s="288"/>
      <c r="C45" s="288"/>
      <c r="D45" s="46">
        <f>D46</f>
        <v>74.03999999999999</v>
      </c>
      <c r="E45" s="46">
        <f>E46</f>
        <v>0.01</v>
      </c>
    </row>
    <row r="46" spans="1:5" ht="30">
      <c r="A46" s="52" t="s">
        <v>48</v>
      </c>
      <c r="B46" s="88" t="s">
        <v>51</v>
      </c>
      <c r="C46" s="88" t="s">
        <v>90</v>
      </c>
      <c r="D46" s="55">
        <f>E46*$D$2*12</f>
        <v>74.03999999999999</v>
      </c>
      <c r="E46" s="87">
        <v>0.01</v>
      </c>
    </row>
    <row r="47" spans="1:5" ht="30.75" customHeight="1">
      <c r="A47" s="288" t="s">
        <v>53</v>
      </c>
      <c r="B47" s="288"/>
      <c r="C47" s="288"/>
      <c r="D47" s="46">
        <f>D48+D49+D50</f>
        <v>2221.2</v>
      </c>
      <c r="E47" s="46">
        <f>E48+E49+E50</f>
        <v>0.3</v>
      </c>
    </row>
    <row r="48" spans="1:5" ht="29.25" customHeight="1">
      <c r="A48" s="52" t="s">
        <v>50</v>
      </c>
      <c r="B48" s="88" t="s">
        <v>55</v>
      </c>
      <c r="C48" s="88" t="s">
        <v>127</v>
      </c>
      <c r="D48" s="55">
        <f>E48*$D$2*12</f>
        <v>148.07999999999998</v>
      </c>
      <c r="E48" s="87">
        <v>0.02</v>
      </c>
    </row>
    <row r="49" spans="1:5" ht="30">
      <c r="A49" s="52" t="s">
        <v>54</v>
      </c>
      <c r="B49" s="89" t="s">
        <v>57</v>
      </c>
      <c r="C49" s="89" t="s">
        <v>58</v>
      </c>
      <c r="D49" s="55">
        <f>E49*$D$2*12</f>
        <v>1628.88</v>
      </c>
      <c r="E49" s="87">
        <v>0.22</v>
      </c>
    </row>
    <row r="50" spans="1:5" ht="30">
      <c r="A50" s="52" t="s">
        <v>56</v>
      </c>
      <c r="B50" s="123" t="s">
        <v>17</v>
      </c>
      <c r="C50" s="42" t="s">
        <v>52</v>
      </c>
      <c r="D50" s="55">
        <f>E50*$D$2*12</f>
        <v>444.23999999999995</v>
      </c>
      <c r="E50" s="58">
        <v>0.06</v>
      </c>
    </row>
    <row r="51" spans="1:6" ht="15">
      <c r="A51" s="43"/>
      <c r="B51" s="71" t="s">
        <v>120</v>
      </c>
      <c r="C51" s="71"/>
      <c r="D51" s="72">
        <f>D45+D47</f>
        <v>2295.24</v>
      </c>
      <c r="E51" s="46">
        <f>E45+E47</f>
        <v>0.31</v>
      </c>
      <c r="F51" s="39"/>
    </row>
    <row r="52" spans="1:6" ht="15.75" customHeight="1">
      <c r="A52" s="78"/>
      <c r="B52" s="78"/>
      <c r="C52" s="78"/>
      <c r="D52" s="78"/>
      <c r="E52" s="78"/>
      <c r="F52" s="79"/>
    </row>
    <row r="53" spans="1:6" ht="105">
      <c r="A53" s="45" t="s">
        <v>3</v>
      </c>
      <c r="B53" s="45" t="s">
        <v>121</v>
      </c>
      <c r="C53" s="45" t="s">
        <v>122</v>
      </c>
      <c r="D53" s="45" t="s">
        <v>38</v>
      </c>
      <c r="E53" s="45" t="s">
        <v>187</v>
      </c>
      <c r="F53" s="45" t="s">
        <v>40</v>
      </c>
    </row>
    <row r="54" spans="1:6" ht="15">
      <c r="A54" s="45">
        <v>1</v>
      </c>
      <c r="B54" s="42" t="s">
        <v>41</v>
      </c>
      <c r="C54" s="45" t="s">
        <v>188</v>
      </c>
      <c r="D54" s="90">
        <v>1500.81</v>
      </c>
      <c r="E54" s="91">
        <f>D54/12/$D$2</f>
        <v>0.2027025931928687</v>
      </c>
      <c r="F54" s="81">
        <v>2</v>
      </c>
    </row>
    <row r="55" spans="1:6" ht="15">
      <c r="A55" s="92"/>
      <c r="B55" s="92" t="s">
        <v>36</v>
      </c>
      <c r="C55" s="92"/>
      <c r="D55" s="124">
        <f>D54</f>
        <v>1500.81</v>
      </c>
      <c r="E55" s="100">
        <f>E54</f>
        <v>0.2027025931928687</v>
      </c>
      <c r="F55" s="92"/>
    </row>
    <row r="57" spans="1:6" ht="15">
      <c r="A57" s="41"/>
      <c r="B57" s="36" t="s">
        <v>189</v>
      </c>
      <c r="C57" s="37"/>
      <c r="D57" s="38">
        <v>608.6</v>
      </c>
      <c r="E57" s="39" t="s">
        <v>82</v>
      </c>
      <c r="F57" s="41"/>
    </row>
    <row r="58" spans="1:6" ht="15">
      <c r="A58" s="41"/>
      <c r="B58" s="40"/>
      <c r="C58" s="41"/>
      <c r="D58" s="41"/>
      <c r="E58" s="41"/>
      <c r="F58" s="41"/>
    </row>
    <row r="59" spans="1:6" ht="48" customHeight="1">
      <c r="A59" s="287" t="s">
        <v>62</v>
      </c>
      <c r="B59" s="287"/>
      <c r="C59" s="287"/>
      <c r="D59" s="287"/>
      <c r="E59" s="287"/>
      <c r="F59" s="41"/>
    </row>
    <row r="60" spans="1:6" ht="15">
      <c r="A60" s="36"/>
      <c r="B60" s="36"/>
      <c r="C60" s="36"/>
      <c r="D60" s="36"/>
      <c r="E60" s="36"/>
      <c r="F60" s="41"/>
    </row>
    <row r="61" spans="1:6" ht="79.5" customHeight="1">
      <c r="A61" s="42"/>
      <c r="B61" s="43" t="s">
        <v>4</v>
      </c>
      <c r="C61" s="43" t="s">
        <v>5</v>
      </c>
      <c r="D61" s="43" t="s">
        <v>6</v>
      </c>
      <c r="E61" s="43" t="s">
        <v>93</v>
      </c>
      <c r="F61" s="41"/>
    </row>
    <row r="62" spans="1:6" ht="30" customHeight="1">
      <c r="A62" s="289" t="s">
        <v>76</v>
      </c>
      <c r="B62" s="290"/>
      <c r="C62" s="290"/>
      <c r="D62" s="46">
        <f>SUM(D63:D69)</f>
        <v>13864.421568641996</v>
      </c>
      <c r="E62" s="46">
        <f>SUM(E63:E69)</f>
        <v>1.8984036543764375</v>
      </c>
      <c r="F62" s="47"/>
    </row>
    <row r="63" spans="1:6" ht="34.5" customHeight="1">
      <c r="A63" s="52">
        <v>1</v>
      </c>
      <c r="B63" s="42" t="s">
        <v>57</v>
      </c>
      <c r="C63" s="54" t="s">
        <v>10</v>
      </c>
      <c r="D63" s="55">
        <f aca="true" t="shared" si="1" ref="D63:D69">E63*$D$57*12</f>
        <v>561.6786693526419</v>
      </c>
      <c r="E63" s="58">
        <v>0.07690857012715548</v>
      </c>
      <c r="F63" s="41"/>
    </row>
    <row r="64" spans="1:6" ht="15.75" customHeight="1">
      <c r="A64" s="52">
        <v>2</v>
      </c>
      <c r="B64" s="42" t="s">
        <v>81</v>
      </c>
      <c r="C64" s="54" t="s">
        <v>10</v>
      </c>
      <c r="D64" s="55">
        <f t="shared" si="1"/>
        <v>4858.559226360303</v>
      </c>
      <c r="E64" s="58">
        <v>0.6652644356392133</v>
      </c>
      <c r="F64" s="41"/>
    </row>
    <row r="65" spans="1:6" ht="15.75" customHeight="1">
      <c r="A65" s="52">
        <v>3</v>
      </c>
      <c r="B65" s="42" t="s">
        <v>149</v>
      </c>
      <c r="C65" s="54" t="s">
        <v>150</v>
      </c>
      <c r="D65" s="55">
        <f t="shared" si="1"/>
        <v>2086.9091726129327</v>
      </c>
      <c r="E65" s="58">
        <v>0.28575270739031283</v>
      </c>
      <c r="F65" s="41"/>
    </row>
    <row r="66" spans="1:6" ht="30">
      <c r="A66" s="52">
        <v>4</v>
      </c>
      <c r="B66" s="42" t="s">
        <v>66</v>
      </c>
      <c r="C66" s="56" t="s">
        <v>15</v>
      </c>
      <c r="D66" s="55">
        <f t="shared" si="1"/>
        <v>718.0551170701389</v>
      </c>
      <c r="E66" s="55">
        <v>0.09832061521937491</v>
      </c>
      <c r="F66" s="41"/>
    </row>
    <row r="67" spans="1:6" ht="60">
      <c r="A67" s="52">
        <v>5</v>
      </c>
      <c r="B67" s="54" t="s">
        <v>79</v>
      </c>
      <c r="C67" s="54" t="s">
        <v>16</v>
      </c>
      <c r="D67" s="55">
        <f t="shared" si="1"/>
        <v>3829.627291040737</v>
      </c>
      <c r="E67" s="55">
        <v>0.5243766145033324</v>
      </c>
      <c r="F67" s="41"/>
    </row>
    <row r="68" spans="1:6" ht="15.75" customHeight="1">
      <c r="A68" s="52">
        <v>6</v>
      </c>
      <c r="B68" s="56" t="s">
        <v>17</v>
      </c>
      <c r="C68" s="56" t="s">
        <v>18</v>
      </c>
      <c r="D68" s="55">
        <f t="shared" si="1"/>
        <v>1356.7988636431444</v>
      </c>
      <c r="E68" s="58">
        <v>0.18578141960279662</v>
      </c>
      <c r="F68" s="41"/>
    </row>
    <row r="69" spans="1:6" ht="15.75" customHeight="1">
      <c r="A69" s="52">
        <v>7</v>
      </c>
      <c r="B69" s="56" t="s">
        <v>98</v>
      </c>
      <c r="C69" s="56" t="s">
        <v>13</v>
      </c>
      <c r="D69" s="55">
        <f t="shared" si="1"/>
        <v>452.79322856209984</v>
      </c>
      <c r="E69" s="55">
        <v>0.06199929189425181</v>
      </c>
      <c r="F69" s="60"/>
    </row>
    <row r="70" spans="1:6" ht="15">
      <c r="A70" s="291" t="s">
        <v>99</v>
      </c>
      <c r="B70" s="259"/>
      <c r="C70" s="260"/>
      <c r="D70" s="46">
        <f>SUM(D71:D72)</f>
        <v>6217.191465715536</v>
      </c>
      <c r="E70" s="46">
        <f>SUM(E71:E72)</f>
        <v>0.8512968925560762</v>
      </c>
      <c r="F70" s="62"/>
    </row>
    <row r="71" spans="1:6" ht="15.75" customHeight="1">
      <c r="A71" s="52">
        <v>8</v>
      </c>
      <c r="B71" s="42" t="s">
        <v>26</v>
      </c>
      <c r="C71" s="54" t="s">
        <v>101</v>
      </c>
      <c r="D71" s="55">
        <f>E71*$D$57*12</f>
        <v>5688.189813097471</v>
      </c>
      <c r="E71" s="64">
        <v>0.7788626647356599</v>
      </c>
      <c r="F71" s="60"/>
    </row>
    <row r="72" spans="1:6" ht="30">
      <c r="A72" s="52">
        <v>9</v>
      </c>
      <c r="B72" s="56" t="s">
        <v>28</v>
      </c>
      <c r="C72" s="56" t="s">
        <v>103</v>
      </c>
      <c r="D72" s="55">
        <f>E72*$D$57*12</f>
        <v>529.0016526180647</v>
      </c>
      <c r="E72" s="55">
        <v>0.07243422782041635</v>
      </c>
      <c r="F72" s="60"/>
    </row>
    <row r="73" spans="1:6" ht="15">
      <c r="A73" s="291" t="s">
        <v>20</v>
      </c>
      <c r="B73" s="292"/>
      <c r="C73" s="293"/>
      <c r="D73" s="65">
        <f>SUM(D74:D77)</f>
        <v>8488.633853996484</v>
      </c>
      <c r="E73" s="65">
        <f>SUM(E74:E77)</f>
        <v>1.1623170464996826</v>
      </c>
      <c r="F73" s="60"/>
    </row>
    <row r="74" spans="1:6" ht="16.5" customHeight="1">
      <c r="A74" s="52">
        <v>10</v>
      </c>
      <c r="B74" s="56" t="s">
        <v>21</v>
      </c>
      <c r="C74" s="56" t="s">
        <v>13</v>
      </c>
      <c r="D74" s="55">
        <f>E74*$D$57*12</f>
        <v>94.38045990249853</v>
      </c>
      <c r="E74" s="58">
        <v>0.01292316517451234</v>
      </c>
      <c r="F74" s="47"/>
    </row>
    <row r="75" spans="1:6" ht="30">
      <c r="A75" s="52">
        <v>11</v>
      </c>
      <c r="B75" s="56" t="s">
        <v>22</v>
      </c>
      <c r="C75" s="56" t="s">
        <v>13</v>
      </c>
      <c r="D75" s="55">
        <f>E75*$D$57*12</f>
        <v>1146.3447622006652</v>
      </c>
      <c r="E75" s="58">
        <v>0.1569647226148353</v>
      </c>
      <c r="F75" s="67"/>
    </row>
    <row r="76" spans="1:6" ht="30">
      <c r="A76" s="52">
        <v>12</v>
      </c>
      <c r="B76" s="56" t="s">
        <v>23</v>
      </c>
      <c r="C76" s="56" t="s">
        <v>13</v>
      </c>
      <c r="D76" s="55">
        <f>E76*$D$57*12</f>
        <v>166.2910035444088</v>
      </c>
      <c r="E76" s="58">
        <v>0.02276960832845996</v>
      </c>
      <c r="F76" s="41"/>
    </row>
    <row r="77" spans="1:6" ht="90">
      <c r="A77" s="52">
        <v>13</v>
      </c>
      <c r="B77" s="56" t="s">
        <v>108</v>
      </c>
      <c r="C77" s="56" t="s">
        <v>13</v>
      </c>
      <c r="D77" s="55">
        <f>E77*$D$57*12</f>
        <v>7081.617628348911</v>
      </c>
      <c r="E77" s="55">
        <v>0.9696595503818751</v>
      </c>
      <c r="F77" s="41"/>
    </row>
    <row r="78" spans="1:6" ht="15">
      <c r="A78" s="289" t="s">
        <v>109</v>
      </c>
      <c r="B78" s="290"/>
      <c r="C78" s="290"/>
      <c r="D78" s="68">
        <f>SUM(D79:D80)</f>
        <v>14353.637980106465</v>
      </c>
      <c r="E78" s="68">
        <f>SUM(E79:E80)</f>
        <v>1.965390237170893</v>
      </c>
      <c r="F78" s="41"/>
    </row>
    <row r="79" spans="1:6" ht="75">
      <c r="A79" s="69">
        <v>14</v>
      </c>
      <c r="B79" s="56" t="s">
        <v>88</v>
      </c>
      <c r="C79" s="56" t="s">
        <v>13</v>
      </c>
      <c r="D79" s="55">
        <f>E79*$D$57*12</f>
        <v>2441.7917347603147</v>
      </c>
      <c r="E79" s="55">
        <v>0.33434545606861577</v>
      </c>
      <c r="F79" s="41"/>
    </row>
    <row r="80" spans="1:6" ht="105">
      <c r="A80" s="52">
        <v>15</v>
      </c>
      <c r="B80" s="56" t="s">
        <v>71</v>
      </c>
      <c r="C80" s="56" t="s">
        <v>112</v>
      </c>
      <c r="D80" s="55">
        <f>E80*$D$57*12</f>
        <v>11911.84624534615</v>
      </c>
      <c r="E80" s="64">
        <v>1.6310447811022772</v>
      </c>
      <c r="F80" s="41"/>
    </row>
    <row r="81" spans="1:6" ht="15">
      <c r="A81" s="289" t="s">
        <v>155</v>
      </c>
      <c r="B81" s="289"/>
      <c r="C81" s="289"/>
      <c r="D81" s="70">
        <f>SUM(D82)</f>
        <v>3215.520000000004</v>
      </c>
      <c r="E81" s="70">
        <f>SUM(E82)</f>
        <v>0.44028918830101926</v>
      </c>
      <c r="F81" s="41"/>
    </row>
    <row r="82" spans="1:6" ht="15">
      <c r="A82" s="52">
        <v>16</v>
      </c>
      <c r="B82" s="56" t="s">
        <v>68</v>
      </c>
      <c r="C82" s="56" t="s">
        <v>115</v>
      </c>
      <c r="D82" s="55">
        <f>E82*$D$57*12</f>
        <v>3215.520000000004</v>
      </c>
      <c r="E82" s="101">
        <v>0.44028918830101926</v>
      </c>
      <c r="F82" s="41"/>
    </row>
    <row r="83" spans="1:6" ht="15">
      <c r="A83" s="289" t="s">
        <v>156</v>
      </c>
      <c r="B83" s="289"/>
      <c r="C83" s="289"/>
      <c r="D83" s="70">
        <f>SUM(D84:D85)</f>
        <v>495.45988610767296</v>
      </c>
      <c r="E83" s="70">
        <f>SUM(E84:E85)</f>
        <v>0.06784147854470272</v>
      </c>
      <c r="F83" s="41"/>
    </row>
    <row r="84" spans="1:6" ht="30">
      <c r="A84" s="52">
        <v>17</v>
      </c>
      <c r="B84" s="56" t="s">
        <v>32</v>
      </c>
      <c r="C84" s="56" t="s">
        <v>103</v>
      </c>
      <c r="D84" s="55">
        <f>E84*$D$57*12</f>
        <v>421.14090086695296</v>
      </c>
      <c r="E84" s="64">
        <v>0.057665256444702724</v>
      </c>
      <c r="F84" s="41"/>
    </row>
    <row r="85" spans="1:6" ht="45">
      <c r="A85" s="52">
        <v>18</v>
      </c>
      <c r="B85" s="56" t="s">
        <v>33</v>
      </c>
      <c r="C85" s="56" t="s">
        <v>34</v>
      </c>
      <c r="D85" s="55">
        <f>E85*$D$57*12</f>
        <v>74.31898524072</v>
      </c>
      <c r="E85" s="55">
        <v>0.0101762221</v>
      </c>
      <c r="F85" s="41"/>
    </row>
    <row r="86" spans="1:6" ht="15">
      <c r="A86" s="43"/>
      <c r="B86" s="71" t="s">
        <v>120</v>
      </c>
      <c r="C86" s="71"/>
      <c r="D86" s="72">
        <f>D62+D70+D73+D78+D81+D83</f>
        <v>46634.86475456815</v>
      </c>
      <c r="E86" s="46">
        <f>E62+E70+E73+E78+E81+E83</f>
        <v>6.385538497448811</v>
      </c>
      <c r="F86" s="39"/>
    </row>
    <row r="87" spans="1:6" ht="15">
      <c r="A87" s="73"/>
      <c r="B87" s="74"/>
      <c r="C87" s="75"/>
      <c r="D87" s="76"/>
      <c r="E87" s="77"/>
      <c r="F87" s="41"/>
    </row>
    <row r="88" spans="1:6" ht="15">
      <c r="A88" s="78"/>
      <c r="B88" s="78"/>
      <c r="C88" s="78"/>
      <c r="D88" s="78"/>
      <c r="E88" s="78"/>
      <c r="F88" s="79"/>
    </row>
    <row r="89" spans="1:6" ht="105">
      <c r="A89" s="45" t="s">
        <v>3</v>
      </c>
      <c r="B89" s="45" t="s">
        <v>121</v>
      </c>
      <c r="C89" s="45" t="s">
        <v>122</v>
      </c>
      <c r="D89" s="45" t="s">
        <v>38</v>
      </c>
      <c r="E89" s="45" t="s">
        <v>185</v>
      </c>
      <c r="F89" s="45" t="s">
        <v>40</v>
      </c>
    </row>
    <row r="90" spans="1:6" ht="15">
      <c r="A90" s="45">
        <v>1</v>
      </c>
      <c r="B90" s="42" t="s">
        <v>41</v>
      </c>
      <c r="C90" s="45" t="s">
        <v>190</v>
      </c>
      <c r="D90" s="45">
        <v>16066.6</v>
      </c>
      <c r="E90" s="80">
        <f>D90/12/D57</f>
        <v>2.1999397524372877</v>
      </c>
      <c r="F90" s="81">
        <v>2</v>
      </c>
    </row>
    <row r="91" spans="1:6" ht="15">
      <c r="A91" s="45"/>
      <c r="B91" s="49" t="s">
        <v>36</v>
      </c>
      <c r="C91" s="44"/>
      <c r="D91" s="122">
        <f>SUM(D90)</f>
        <v>16066.6</v>
      </c>
      <c r="E91" s="82">
        <f>SUM(E90:E90)</f>
        <v>2.1999397524372877</v>
      </c>
      <c r="F91" s="83"/>
    </row>
    <row r="92" spans="1:6" ht="15">
      <c r="A92" s="73"/>
      <c r="B92" s="74"/>
      <c r="C92" s="84"/>
      <c r="D92" s="84"/>
      <c r="E92" s="84"/>
      <c r="F92" s="84"/>
    </row>
    <row r="93" spans="1:6" ht="29.25">
      <c r="A93" s="73"/>
      <c r="B93" s="74" t="s">
        <v>125</v>
      </c>
      <c r="C93" s="85">
        <f>D86+D91</f>
        <v>62701.46475456815</v>
      </c>
      <c r="D93" s="85"/>
      <c r="E93" s="85"/>
      <c r="F93" s="84"/>
    </row>
    <row r="94" spans="1:6" ht="15">
      <c r="A94" s="73"/>
      <c r="B94" s="74" t="s">
        <v>126</v>
      </c>
      <c r="C94" s="86">
        <f>E86+E91</f>
        <v>8.5854782498861</v>
      </c>
      <c r="D94" s="84"/>
      <c r="E94" s="84"/>
      <c r="F94" s="84"/>
    </row>
    <row r="95" spans="1:6" ht="15">
      <c r="A95" s="73"/>
      <c r="B95" s="74"/>
      <c r="C95" s="86"/>
      <c r="D95" s="84"/>
      <c r="E95" s="84"/>
      <c r="F95" s="84"/>
    </row>
    <row r="96" spans="1:6" ht="15">
      <c r="A96" s="41"/>
      <c r="B96" s="41"/>
      <c r="C96" s="41"/>
      <c r="D96" s="41"/>
      <c r="E96" s="41"/>
      <c r="F96" s="41"/>
    </row>
    <row r="97" spans="1:6" ht="31.5" customHeight="1">
      <c r="A97" s="287" t="s">
        <v>44</v>
      </c>
      <c r="B97" s="287"/>
      <c r="C97" s="287"/>
      <c r="D97" s="287"/>
      <c r="E97" s="287"/>
      <c r="F97" s="287"/>
    </row>
    <row r="98" spans="1:6" ht="15">
      <c r="A98" s="36"/>
      <c r="B98" s="36"/>
      <c r="C98" s="36"/>
      <c r="D98" s="41"/>
      <c r="E98" s="41"/>
      <c r="F98" s="41"/>
    </row>
    <row r="99" spans="1:6" ht="79.5" customHeight="1">
      <c r="A99" s="42"/>
      <c r="B99" s="43" t="s">
        <v>4</v>
      </c>
      <c r="C99" s="43" t="s">
        <v>5</v>
      </c>
      <c r="D99" s="43" t="s">
        <v>6</v>
      </c>
      <c r="E99" s="43" t="s">
        <v>93</v>
      </c>
      <c r="F99" s="41"/>
    </row>
    <row r="100" spans="1:5" ht="15.75" customHeight="1">
      <c r="A100" s="288" t="s">
        <v>47</v>
      </c>
      <c r="B100" s="288"/>
      <c r="C100" s="288"/>
      <c r="D100" s="46">
        <f>D101</f>
        <v>73.03200000000001</v>
      </c>
      <c r="E100" s="46">
        <f>E101</f>
        <v>0.01</v>
      </c>
    </row>
    <row r="101" spans="1:5" ht="30">
      <c r="A101" s="52" t="s">
        <v>48</v>
      </c>
      <c r="B101" s="88" t="s">
        <v>51</v>
      </c>
      <c r="C101" s="88" t="s">
        <v>90</v>
      </c>
      <c r="D101" s="55">
        <f>E101*$D$57*12</f>
        <v>73.03200000000001</v>
      </c>
      <c r="E101" s="87">
        <v>0.01</v>
      </c>
    </row>
    <row r="102" spans="1:5" ht="30.75" customHeight="1">
      <c r="A102" s="288" t="s">
        <v>53</v>
      </c>
      <c r="B102" s="288"/>
      <c r="C102" s="288"/>
      <c r="D102" s="46">
        <f>D103+D104+D105</f>
        <v>2190.96</v>
      </c>
      <c r="E102" s="46">
        <f>E103+E104+E105</f>
        <v>0.3</v>
      </c>
    </row>
    <row r="103" spans="1:5" ht="29.25" customHeight="1">
      <c r="A103" s="52" t="s">
        <v>50</v>
      </c>
      <c r="B103" s="88" t="s">
        <v>55</v>
      </c>
      <c r="C103" s="88" t="s">
        <v>127</v>
      </c>
      <c r="D103" s="55">
        <f>E103*$D$57*12</f>
        <v>146.06400000000002</v>
      </c>
      <c r="E103" s="87">
        <v>0.02</v>
      </c>
    </row>
    <row r="104" spans="1:5" ht="30">
      <c r="A104" s="52" t="s">
        <v>54</v>
      </c>
      <c r="B104" s="89" t="s">
        <v>57</v>
      </c>
      <c r="C104" s="89" t="s">
        <v>58</v>
      </c>
      <c r="D104" s="55">
        <f>E104*$D$57*12</f>
        <v>1606.704</v>
      </c>
      <c r="E104" s="87">
        <v>0.22</v>
      </c>
    </row>
    <row r="105" spans="1:5" ht="30">
      <c r="A105" s="52" t="s">
        <v>56</v>
      </c>
      <c r="B105" s="123" t="s">
        <v>17</v>
      </c>
      <c r="C105" s="42" t="s">
        <v>52</v>
      </c>
      <c r="D105" s="55">
        <f>E105*$D$57*12</f>
        <v>438.192</v>
      </c>
      <c r="E105" s="58">
        <v>0.06</v>
      </c>
    </row>
    <row r="106" spans="1:6" ht="15">
      <c r="A106" s="43"/>
      <c r="B106" s="71" t="s">
        <v>120</v>
      </c>
      <c r="C106" s="71"/>
      <c r="D106" s="72">
        <f>D100+D102</f>
        <v>2263.992</v>
      </c>
      <c r="E106" s="46">
        <f>E100+E102</f>
        <v>0.31</v>
      </c>
      <c r="F106" s="39"/>
    </row>
    <row r="107" spans="1:6" ht="15">
      <c r="A107" s="41"/>
      <c r="B107" s="41"/>
      <c r="C107" s="41"/>
      <c r="D107" s="41"/>
      <c r="E107" s="41"/>
      <c r="F107" s="41"/>
    </row>
    <row r="108" spans="1:6" ht="15">
      <c r="A108" s="78"/>
      <c r="B108" s="78"/>
      <c r="C108" s="78"/>
      <c r="D108" s="78"/>
      <c r="E108" s="78"/>
      <c r="F108" s="79"/>
    </row>
    <row r="109" spans="1:6" ht="105">
      <c r="A109" s="45" t="s">
        <v>3</v>
      </c>
      <c r="B109" s="45" t="s">
        <v>121</v>
      </c>
      <c r="C109" s="45" t="s">
        <v>122</v>
      </c>
      <c r="D109" s="45" t="s">
        <v>38</v>
      </c>
      <c r="E109" s="45" t="s">
        <v>181</v>
      </c>
      <c r="F109" s="45" t="s">
        <v>40</v>
      </c>
    </row>
    <row r="110" spans="1:6" ht="15">
      <c r="A110" s="45">
        <v>1</v>
      </c>
      <c r="B110" s="42" t="s">
        <v>41</v>
      </c>
      <c r="C110" s="45" t="s">
        <v>188</v>
      </c>
      <c r="D110" s="90">
        <v>1500.62</v>
      </c>
      <c r="E110" s="91">
        <f>D110/12/$D$57</f>
        <v>0.20547431263007995</v>
      </c>
      <c r="F110" s="81">
        <v>2</v>
      </c>
    </row>
    <row r="111" spans="1:6" ht="15">
      <c r="A111" s="92"/>
      <c r="B111" s="92" t="s">
        <v>36</v>
      </c>
      <c r="C111" s="92"/>
      <c r="D111" s="124">
        <f>D110</f>
        <v>1500.62</v>
      </c>
      <c r="E111" s="100">
        <f>E110</f>
        <v>0.20547431263007995</v>
      </c>
      <c r="F111" s="92"/>
    </row>
    <row r="114" spans="1:6" ht="29.25">
      <c r="A114" s="41"/>
      <c r="B114" s="74" t="s">
        <v>308</v>
      </c>
      <c r="C114" s="85">
        <f>C38+C93-0.5</f>
        <v>127461.3139462586</v>
      </c>
      <c r="D114" s="41"/>
      <c r="E114" s="41"/>
      <c r="F114" s="41"/>
    </row>
  </sheetData>
  <mergeCells count="21">
    <mergeCell ref="A102:C102"/>
    <mergeCell ref="A47:C47"/>
    <mergeCell ref="A59:E59"/>
    <mergeCell ref="A62:C62"/>
    <mergeCell ref="A70:C70"/>
    <mergeCell ref="A78:C78"/>
    <mergeCell ref="A81:C81"/>
    <mergeCell ref="A97:F97"/>
    <mergeCell ref="A100:C100"/>
    <mergeCell ref="A42:F42"/>
    <mergeCell ref="A83:C83"/>
    <mergeCell ref="A1:E1"/>
    <mergeCell ref="A4:E4"/>
    <mergeCell ref="A73:C73"/>
    <mergeCell ref="A7:C7"/>
    <mergeCell ref="A15:C15"/>
    <mergeCell ref="A23:C23"/>
    <mergeCell ref="A18:C18"/>
    <mergeCell ref="A28:C28"/>
    <mergeCell ref="A26:C26"/>
    <mergeCell ref="A45:C4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28">
      <selection activeCell="G22" sqref="G22"/>
    </sheetView>
  </sheetViews>
  <sheetFormatPr defaultColWidth="9.00390625" defaultRowHeight="12.75"/>
  <cols>
    <col min="1" max="1" width="3.75390625" style="182" customWidth="1"/>
    <col min="2" max="2" width="43.375" style="182" customWidth="1"/>
    <col min="3" max="3" width="17.75390625" style="182" customWidth="1"/>
    <col min="4" max="4" width="9.625" style="182" customWidth="1"/>
    <col min="5" max="5" width="10.875" style="182" customWidth="1"/>
    <col min="6" max="6" width="9.125" style="182" customWidth="1"/>
    <col min="7" max="7" width="10.625" style="182" customWidth="1"/>
    <col min="8" max="16384" width="9.125" style="182" customWidth="1"/>
  </cols>
  <sheetData>
    <row r="1" ht="12.75">
      <c r="C1" s="183"/>
    </row>
    <row r="2" spans="1:6" ht="15.75">
      <c r="A2" s="330" t="s">
        <v>221</v>
      </c>
      <c r="B2" s="330"/>
      <c r="C2" s="330"/>
      <c r="D2" s="330"/>
      <c r="E2" s="330"/>
      <c r="F2" s="184"/>
    </row>
    <row r="3" spans="1:6" ht="26.25" customHeight="1">
      <c r="A3" s="184" t="s">
        <v>73</v>
      </c>
      <c r="B3" s="185" t="s">
        <v>222</v>
      </c>
      <c r="C3" s="186"/>
      <c r="D3" s="276">
        <v>2496.8</v>
      </c>
      <c r="E3" s="187" t="s">
        <v>82</v>
      </c>
      <c r="F3" s="184"/>
    </row>
    <row r="4" spans="1:6" ht="12.75" customHeight="1">
      <c r="A4" s="184"/>
      <c r="B4" s="188"/>
      <c r="C4" s="184"/>
      <c r="D4" s="184"/>
      <c r="E4" s="184"/>
      <c r="F4" s="184"/>
    </row>
    <row r="5" spans="1:6" ht="27.75" customHeight="1">
      <c r="A5" s="321" t="s">
        <v>62</v>
      </c>
      <c r="B5" s="321"/>
      <c r="C5" s="321"/>
      <c r="D5" s="321"/>
      <c r="E5" s="321"/>
      <c r="F5" s="184"/>
    </row>
    <row r="6" spans="1:6" ht="12.75">
      <c r="A6" s="53"/>
      <c r="B6" s="53"/>
      <c r="C6" s="53"/>
      <c r="D6" s="53"/>
      <c r="E6" s="53"/>
      <c r="F6" s="184"/>
    </row>
    <row r="7" spans="1:6" ht="65.25" customHeight="1">
      <c r="A7" s="189"/>
      <c r="B7" s="190" t="s">
        <v>4</v>
      </c>
      <c r="C7" s="190" t="s">
        <v>5</v>
      </c>
      <c r="D7" s="190" t="s">
        <v>6</v>
      </c>
      <c r="E7" s="190" t="s">
        <v>93</v>
      </c>
      <c r="F7" s="184"/>
    </row>
    <row r="8" spans="1:6" ht="14.25" customHeight="1">
      <c r="A8" s="322" t="s">
        <v>170</v>
      </c>
      <c r="B8" s="317"/>
      <c r="C8" s="318"/>
      <c r="D8" s="275">
        <f>SUM(D9:D10)</f>
        <v>22975.05195053519</v>
      </c>
      <c r="E8" s="275">
        <f>SUM(E9:E10)</f>
        <v>0.766816590253364</v>
      </c>
      <c r="F8" s="184"/>
    </row>
    <row r="9" spans="1:6" ht="27.75" customHeight="1">
      <c r="A9" s="191" t="s">
        <v>48</v>
      </c>
      <c r="B9" s="192" t="s">
        <v>9</v>
      </c>
      <c r="C9" s="193" t="s">
        <v>10</v>
      </c>
      <c r="D9" s="197">
        <f>E9*12*$D$3</f>
        <v>11485.410059413376</v>
      </c>
      <c r="E9" s="197">
        <v>0.38333767420342624</v>
      </c>
      <c r="F9" s="184"/>
    </row>
    <row r="10" spans="1:6" ht="19.5" customHeight="1">
      <c r="A10" s="191" t="s">
        <v>75</v>
      </c>
      <c r="B10" s="192" t="s">
        <v>171</v>
      </c>
      <c r="C10" s="192" t="s">
        <v>11</v>
      </c>
      <c r="D10" s="197">
        <f>E10*12*$D$3</f>
        <v>11489.641891121815</v>
      </c>
      <c r="E10" s="197">
        <v>0.3834789160499378</v>
      </c>
      <c r="F10" s="184"/>
    </row>
    <row r="11" spans="1:6" ht="24.75" customHeight="1">
      <c r="A11" s="316" t="s">
        <v>223</v>
      </c>
      <c r="B11" s="317"/>
      <c r="C11" s="318"/>
      <c r="D11" s="275">
        <f>SUM(D12:D17)</f>
        <v>61004.81376000001</v>
      </c>
      <c r="E11" s="275">
        <f>SUM(E12:E17)</f>
        <v>2.0361000000000002</v>
      </c>
      <c r="F11" s="194" t="e">
        <f>E12+E13+E14+E15+#REF!+#REF!+E16+#REF!+E17</f>
        <v>#REF!</v>
      </c>
    </row>
    <row r="12" spans="1:6" ht="15" customHeight="1">
      <c r="A12" s="191" t="s">
        <v>136</v>
      </c>
      <c r="B12" s="189" t="s">
        <v>57</v>
      </c>
      <c r="C12" s="193" t="s">
        <v>10</v>
      </c>
      <c r="D12" s="197">
        <f aca="true" t="shared" si="0" ref="D12:D17">E12*12*$D$3</f>
        <v>2307.0432000000005</v>
      </c>
      <c r="E12" s="197">
        <v>0.07700000000000001</v>
      </c>
      <c r="F12" s="195">
        <f>D12+D13+D14+D15+D16+D17</f>
        <v>61004.81376000001</v>
      </c>
    </row>
    <row r="13" spans="1:6" ht="15" customHeight="1">
      <c r="A13" s="191" t="s">
        <v>104</v>
      </c>
      <c r="B13" s="189" t="s">
        <v>250</v>
      </c>
      <c r="C13" s="193" t="s">
        <v>10</v>
      </c>
      <c r="D13" s="197">
        <f t="shared" si="0"/>
        <v>31639.449600000004</v>
      </c>
      <c r="E13" s="197">
        <v>1.056</v>
      </c>
      <c r="F13" s="196">
        <f>E12+E13+E14+E15+E16+E17</f>
        <v>2.0361000000000002</v>
      </c>
    </row>
    <row r="14" spans="1:6" ht="22.5" customHeight="1">
      <c r="A14" s="191" t="s">
        <v>105</v>
      </c>
      <c r="B14" s="189" t="s">
        <v>66</v>
      </c>
      <c r="C14" s="192" t="s">
        <v>224</v>
      </c>
      <c r="D14" s="197">
        <f t="shared" si="0"/>
        <v>3098.0294400000007</v>
      </c>
      <c r="E14" s="197">
        <v>0.1034</v>
      </c>
      <c r="F14" s="184"/>
    </row>
    <row r="15" spans="1:6" ht="52.5" customHeight="1">
      <c r="A15" s="191" t="s">
        <v>106</v>
      </c>
      <c r="B15" s="193" t="s">
        <v>79</v>
      </c>
      <c r="C15" s="193" t="s">
        <v>16</v>
      </c>
      <c r="D15" s="197">
        <f t="shared" si="0"/>
        <v>16478.88</v>
      </c>
      <c r="E15" s="197">
        <v>0.55</v>
      </c>
      <c r="F15" s="184"/>
    </row>
    <row r="16" spans="1:6" ht="15.75" customHeight="1">
      <c r="A16" s="191" t="s">
        <v>153</v>
      </c>
      <c r="B16" s="192" t="s">
        <v>17</v>
      </c>
      <c r="C16" s="192" t="s">
        <v>18</v>
      </c>
      <c r="D16" s="197">
        <f t="shared" si="0"/>
        <v>5833.523520000001</v>
      </c>
      <c r="E16" s="197">
        <v>0.1947</v>
      </c>
      <c r="F16" s="184"/>
    </row>
    <row r="17" spans="1:7" ht="17.25" customHeight="1">
      <c r="A17" s="191" t="s">
        <v>117</v>
      </c>
      <c r="B17" s="192" t="s">
        <v>98</v>
      </c>
      <c r="C17" s="192" t="s">
        <v>13</v>
      </c>
      <c r="D17" s="197">
        <f t="shared" si="0"/>
        <v>1647.8880000000001</v>
      </c>
      <c r="E17" s="197">
        <v>0.055</v>
      </c>
      <c r="F17" s="198"/>
      <c r="G17" s="199"/>
    </row>
    <row r="18" spans="1:7" ht="12.75" customHeight="1">
      <c r="A18" s="316" t="s">
        <v>225</v>
      </c>
      <c r="B18" s="317"/>
      <c r="C18" s="318"/>
      <c r="D18" s="275">
        <f>SUM(D19:D20)</f>
        <v>17138.035200000002</v>
      </c>
      <c r="E18" s="275">
        <f>SUM(E19:E20)</f>
        <v>0.5720000000000001</v>
      </c>
      <c r="F18" s="196" t="e">
        <f>E19+E20+#REF!</f>
        <v>#REF!</v>
      </c>
      <c r="G18" s="199"/>
    </row>
    <row r="19" spans="1:7" ht="15.75" customHeight="1">
      <c r="A19" s="191">
        <v>18</v>
      </c>
      <c r="B19" s="189" t="s">
        <v>26</v>
      </c>
      <c r="C19" s="193" t="s">
        <v>101</v>
      </c>
      <c r="D19" s="197">
        <f>E19*12*$D$3</f>
        <v>15819.724800000002</v>
      </c>
      <c r="E19" s="197">
        <v>0.528</v>
      </c>
      <c r="F19" s="198"/>
      <c r="G19" s="199"/>
    </row>
    <row r="20" spans="1:7" ht="22.5" customHeight="1">
      <c r="A20" s="191" t="s">
        <v>157</v>
      </c>
      <c r="B20" s="192" t="s">
        <v>28</v>
      </c>
      <c r="C20" s="192" t="s">
        <v>103</v>
      </c>
      <c r="D20" s="197">
        <f>E20*12*$D$3</f>
        <v>1318.3104</v>
      </c>
      <c r="E20" s="197">
        <v>0.044000000000000004</v>
      </c>
      <c r="F20" s="198"/>
      <c r="G20" s="199"/>
    </row>
    <row r="21" spans="1:7" ht="14.25" customHeight="1">
      <c r="A21" s="200" t="s">
        <v>226</v>
      </c>
      <c r="B21" s="201"/>
      <c r="C21" s="202"/>
      <c r="D21" s="275">
        <f>SUM(D22:D25)</f>
        <v>35620.675447372756</v>
      </c>
      <c r="E21" s="275">
        <f>SUM(E22:E25)</f>
        <v>1.188877611588592</v>
      </c>
      <c r="F21" s="198"/>
      <c r="G21" s="199"/>
    </row>
    <row r="22" spans="1:7" ht="12.75">
      <c r="A22" s="191" t="s">
        <v>227</v>
      </c>
      <c r="B22" s="203" t="s">
        <v>21</v>
      </c>
      <c r="C22" s="192" t="s">
        <v>13</v>
      </c>
      <c r="D22" s="197">
        <f>E22*12*$D$3</f>
        <v>454.74552737274837</v>
      </c>
      <c r="E22" s="197">
        <v>0.015177611588591676</v>
      </c>
      <c r="F22" s="194">
        <f>D22+D23+D24+D25</f>
        <v>35620.675447372756</v>
      </c>
      <c r="G22" s="204"/>
    </row>
    <row r="23" spans="1:7" ht="29.25" customHeight="1">
      <c r="A23" s="191" t="s">
        <v>228</v>
      </c>
      <c r="B23" s="192" t="s">
        <v>22</v>
      </c>
      <c r="C23" s="192" t="s">
        <v>13</v>
      </c>
      <c r="D23" s="197">
        <f>E23*12*$D$3</f>
        <v>3460.5648000000006</v>
      </c>
      <c r="E23" s="197">
        <v>0.1155</v>
      </c>
      <c r="F23" s="195">
        <f>E22+E23+E24+E25</f>
        <v>1.188877611588592</v>
      </c>
      <c r="G23" s="199"/>
    </row>
    <row r="24" spans="1:6" ht="28.5" customHeight="1">
      <c r="A24" s="191" t="s">
        <v>229</v>
      </c>
      <c r="B24" s="192" t="s">
        <v>23</v>
      </c>
      <c r="C24" s="192" t="s">
        <v>13</v>
      </c>
      <c r="D24" s="197">
        <f>E24*12*$D$3</f>
        <v>593.2396800000001</v>
      </c>
      <c r="E24" s="197">
        <v>0.0198</v>
      </c>
      <c r="F24" s="184"/>
    </row>
    <row r="25" spans="1:6" ht="67.5" customHeight="1">
      <c r="A25" s="191" t="s">
        <v>230</v>
      </c>
      <c r="B25" s="192" t="s">
        <v>108</v>
      </c>
      <c r="C25" s="192" t="s">
        <v>13</v>
      </c>
      <c r="D25" s="197">
        <f>E25*12*$D$3</f>
        <v>31112.125440000007</v>
      </c>
      <c r="E25" s="197">
        <v>1.0384000000000002</v>
      </c>
      <c r="F25" s="205"/>
    </row>
    <row r="26" spans="1:6" ht="17.25" customHeight="1">
      <c r="A26" s="316" t="s">
        <v>231</v>
      </c>
      <c r="B26" s="317"/>
      <c r="C26" s="318"/>
      <c r="D26" s="275">
        <f>SUM(D27:D29)</f>
        <v>51414.10560000002</v>
      </c>
      <c r="E26" s="275">
        <f>SUM(E27:E29)</f>
        <v>1.7160000000000002</v>
      </c>
      <c r="F26" s="184"/>
    </row>
    <row r="27" spans="1:6" ht="66.75" customHeight="1">
      <c r="A27" s="191" t="s">
        <v>232</v>
      </c>
      <c r="B27" s="192" t="s">
        <v>88</v>
      </c>
      <c r="C27" s="192" t="s">
        <v>13</v>
      </c>
      <c r="D27" s="197">
        <f>E27*12*$D$3</f>
        <v>7250.707200000002</v>
      </c>
      <c r="E27" s="197">
        <v>0.24200000000000002</v>
      </c>
      <c r="F27" s="184"/>
    </row>
    <row r="28" spans="1:6" ht="43.5" customHeight="1">
      <c r="A28" s="324" t="s">
        <v>233</v>
      </c>
      <c r="B28" s="326" t="s">
        <v>218</v>
      </c>
      <c r="C28" s="326" t="s">
        <v>112</v>
      </c>
      <c r="D28" s="197">
        <f>E28*12*$D$3</f>
        <v>44163.39840000001</v>
      </c>
      <c r="E28" s="197">
        <v>1.4740000000000002</v>
      </c>
      <c r="F28" s="184"/>
    </row>
    <row r="29" spans="1:6" ht="52.5" customHeight="1">
      <c r="A29" s="325"/>
      <c r="B29" s="327"/>
      <c r="C29" s="327"/>
      <c r="D29" s="197"/>
      <c r="E29" s="197"/>
      <c r="F29" s="184"/>
    </row>
    <row r="30" spans="1:6" ht="16.5" customHeight="1">
      <c r="A30" s="316" t="s">
        <v>234</v>
      </c>
      <c r="B30" s="317"/>
      <c r="C30" s="318"/>
      <c r="D30" s="275">
        <f>D31</f>
        <v>9523.151343552003</v>
      </c>
      <c r="E30" s="275">
        <f>E31</f>
        <v>0.3178452200000001</v>
      </c>
      <c r="F30" s="184"/>
    </row>
    <row r="31" spans="1:6" ht="24" customHeight="1">
      <c r="A31" s="206" t="s">
        <v>235</v>
      </c>
      <c r="B31" s="207" t="s">
        <v>68</v>
      </c>
      <c r="C31" s="189" t="s">
        <v>115</v>
      </c>
      <c r="D31" s="197">
        <f>E31*12*$D$3</f>
        <v>9523.151343552003</v>
      </c>
      <c r="E31" s="197">
        <v>0.3178452200000001</v>
      </c>
      <c r="F31" s="184"/>
    </row>
    <row r="32" spans="1:6" ht="15.75" customHeight="1">
      <c r="A32" s="316" t="s">
        <v>236</v>
      </c>
      <c r="B32" s="323"/>
      <c r="C32" s="323"/>
      <c r="D32" s="275">
        <f>SUM(D33:D34)</f>
        <v>1977.4656000000002</v>
      </c>
      <c r="E32" s="275">
        <f>SUM(E33:E34)</f>
        <v>0.066</v>
      </c>
      <c r="F32" s="184"/>
    </row>
    <row r="33" spans="1:6" ht="25.5" customHeight="1">
      <c r="A33" s="191" t="s">
        <v>237</v>
      </c>
      <c r="B33" s="192" t="s">
        <v>32</v>
      </c>
      <c r="C33" s="192" t="s">
        <v>103</v>
      </c>
      <c r="D33" s="197">
        <f>E33*12*$D$3</f>
        <v>1647.8880000000001</v>
      </c>
      <c r="E33" s="197">
        <v>0.055</v>
      </c>
      <c r="F33" s="196">
        <f>D33+D34</f>
        <v>1977.4656000000002</v>
      </c>
    </row>
    <row r="34" spans="1:7" ht="28.5" customHeight="1">
      <c r="A34" s="191" t="s">
        <v>238</v>
      </c>
      <c r="B34" s="192" t="s">
        <v>239</v>
      </c>
      <c r="C34" s="208" t="s">
        <v>13</v>
      </c>
      <c r="D34" s="197">
        <f>E34*12*$D$3</f>
        <v>329.5776</v>
      </c>
      <c r="E34" s="197">
        <v>0.011000000000000001</v>
      </c>
      <c r="F34" s="184"/>
      <c r="G34" s="209"/>
    </row>
    <row r="35" spans="1:6" ht="12.75">
      <c r="A35" s="210"/>
      <c r="B35" s="211" t="s">
        <v>120</v>
      </c>
      <c r="C35" s="211"/>
      <c r="D35" s="250">
        <f>D32+D30+D26+D21+D18+D11+D8</f>
        <v>199653.29890145996</v>
      </c>
      <c r="E35" s="251">
        <f>E32+E30+E26+E21+E18+E11+E8</f>
        <v>6.663639421841956</v>
      </c>
      <c r="F35" s="212"/>
    </row>
    <row r="36" spans="1:7" ht="15">
      <c r="A36" s="213"/>
      <c r="B36" s="214"/>
      <c r="C36" s="215"/>
      <c r="D36" s="216"/>
      <c r="E36" s="217"/>
      <c r="F36" s="196">
        <f>'[12]пр.Энтузиастов 44В'!AE42</f>
        <v>8.188761075304292</v>
      </c>
      <c r="G36" s="285"/>
    </row>
    <row r="37" spans="1:6" ht="12.75">
      <c r="A37" s="218"/>
      <c r="B37" s="218"/>
      <c r="C37" s="218"/>
      <c r="D37" s="218"/>
      <c r="E37" s="218"/>
      <c r="F37" s="219"/>
    </row>
    <row r="38" spans="1:6" ht="44.25" customHeight="1">
      <c r="A38" s="220" t="s">
        <v>3</v>
      </c>
      <c r="B38" s="220" t="s">
        <v>121</v>
      </c>
      <c r="C38" s="220" t="s">
        <v>37</v>
      </c>
      <c r="D38" s="220" t="s">
        <v>38</v>
      </c>
      <c r="E38" s="220" t="s">
        <v>39</v>
      </c>
      <c r="F38" s="220" t="s">
        <v>40</v>
      </c>
    </row>
    <row r="39" spans="1:6" ht="21.75" customHeight="1">
      <c r="A39" s="221">
        <v>1</v>
      </c>
      <c r="B39" s="189" t="s">
        <v>41</v>
      </c>
      <c r="C39" s="221" t="s">
        <v>269</v>
      </c>
      <c r="D39" s="221">
        <v>22000</v>
      </c>
      <c r="E39" s="222">
        <f>D39/12/$D$3</f>
        <v>0.7342732030332157</v>
      </c>
      <c r="F39" s="223">
        <v>2</v>
      </c>
    </row>
    <row r="40" spans="1:6" ht="12" customHeight="1">
      <c r="A40" s="221">
        <v>2</v>
      </c>
      <c r="B40" s="224" t="s">
        <v>241</v>
      </c>
      <c r="C40" s="221" t="s">
        <v>303</v>
      </c>
      <c r="D40" s="221">
        <v>5305.3</v>
      </c>
      <c r="E40" s="222">
        <f>D40/12/$D$3</f>
        <v>0.17706998291146</v>
      </c>
      <c r="F40" s="221">
        <v>2</v>
      </c>
    </row>
    <row r="41" spans="1:6" ht="12" customHeight="1">
      <c r="A41" s="221" t="s">
        <v>74</v>
      </c>
      <c r="B41" s="224" t="s">
        <v>243</v>
      </c>
      <c r="C41" s="221" t="s">
        <v>244</v>
      </c>
      <c r="D41" s="221">
        <v>23060.4</v>
      </c>
      <c r="E41" s="222">
        <f>D41/12/$D$3</f>
        <v>0.7696651714194168</v>
      </c>
      <c r="F41" s="221">
        <v>5</v>
      </c>
    </row>
    <row r="42" spans="1:6" ht="10.5" customHeight="1">
      <c r="A42" s="221" t="s">
        <v>130</v>
      </c>
      <c r="B42" s="224" t="s">
        <v>245</v>
      </c>
      <c r="C42" s="221" t="s">
        <v>246</v>
      </c>
      <c r="D42" s="221">
        <v>15550.7</v>
      </c>
      <c r="E42" s="222">
        <f>D42/12/$D$3</f>
        <v>0.5190210135640286</v>
      </c>
      <c r="F42" s="221">
        <v>5</v>
      </c>
    </row>
    <row r="43" spans="1:6" ht="13.5" customHeight="1">
      <c r="A43" s="221"/>
      <c r="B43" s="225" t="s">
        <v>43</v>
      </c>
      <c r="C43" s="226"/>
      <c r="D43" s="227">
        <f>D39+D40+D41+D42</f>
        <v>65916.4</v>
      </c>
      <c r="E43" s="228">
        <f>E39+E40+E41+E42</f>
        <v>2.2000293709281213</v>
      </c>
      <c r="F43" s="229">
        <v>5</v>
      </c>
    </row>
    <row r="44" spans="1:6" ht="12.75">
      <c r="A44" s="213"/>
      <c r="B44" s="214"/>
      <c r="C44" s="230"/>
      <c r="D44" s="230"/>
      <c r="E44" s="230"/>
      <c r="F44" s="230"/>
    </row>
    <row r="45" spans="1:6" ht="25.5">
      <c r="A45" s="213"/>
      <c r="B45" s="214" t="s">
        <v>125</v>
      </c>
      <c r="C45" s="231">
        <f>D35+D43</f>
        <v>265569.6989014599</v>
      </c>
      <c r="D45" s="231"/>
      <c r="E45" s="231"/>
      <c r="F45" s="230"/>
    </row>
    <row r="46" spans="1:6" ht="12.75">
      <c r="A46" s="213"/>
      <c r="B46" s="214" t="s">
        <v>216</v>
      </c>
      <c r="C46" s="232">
        <f>E35+E43</f>
        <v>8.863668792770078</v>
      </c>
      <c r="D46" s="230"/>
      <c r="E46" s="230"/>
      <c r="F46" s="230"/>
    </row>
    <row r="47" spans="1:6" ht="33" customHeight="1">
      <c r="A47" s="184"/>
      <c r="B47" s="184"/>
      <c r="C47" s="184"/>
      <c r="D47" s="184"/>
      <c r="E47" s="184"/>
      <c r="F47" s="184"/>
    </row>
    <row r="48" spans="1:6" ht="36" customHeight="1">
      <c r="A48" s="321" t="s">
        <v>217</v>
      </c>
      <c r="B48" s="321"/>
      <c r="C48" s="321"/>
      <c r="D48" s="321"/>
      <c r="E48" s="321"/>
      <c r="F48" s="321"/>
    </row>
    <row r="49" spans="1:6" ht="12.75">
      <c r="A49" s="53"/>
      <c r="B49" s="53"/>
      <c r="C49" s="53"/>
      <c r="D49" s="184"/>
      <c r="E49" s="184"/>
      <c r="F49" s="184"/>
    </row>
    <row r="50" spans="1:6" ht="73.5" customHeight="1">
      <c r="A50" s="189"/>
      <c r="B50" s="190" t="s">
        <v>4</v>
      </c>
      <c r="C50" s="190" t="s">
        <v>45</v>
      </c>
      <c r="D50" s="190" t="s">
        <v>6</v>
      </c>
      <c r="E50" s="190" t="s">
        <v>93</v>
      </c>
      <c r="F50" s="184"/>
    </row>
    <row r="51" spans="1:6" ht="24" customHeight="1">
      <c r="A51" s="313" t="s">
        <v>47</v>
      </c>
      <c r="B51" s="319"/>
      <c r="C51" s="320"/>
      <c r="D51" s="233">
        <f>SUM(D52:D53)</f>
        <v>599.28</v>
      </c>
      <c r="E51" s="233">
        <f>SUM(E52:E53)</f>
        <v>0.02</v>
      </c>
      <c r="F51" s="184"/>
    </row>
    <row r="52" spans="1:6" ht="25.5" customHeight="1">
      <c r="A52" s="191" t="s">
        <v>48</v>
      </c>
      <c r="B52" s="235" t="s">
        <v>9</v>
      </c>
      <c r="C52" s="235" t="s">
        <v>49</v>
      </c>
      <c r="D52" s="236">
        <f>E52*12*2497</f>
        <v>299.64</v>
      </c>
      <c r="E52" s="237">
        <v>0.01</v>
      </c>
      <c r="F52" s="184"/>
    </row>
    <row r="53" spans="1:6" ht="27" customHeight="1">
      <c r="A53" s="191" t="s">
        <v>50</v>
      </c>
      <c r="B53" s="235" t="s">
        <v>51</v>
      </c>
      <c r="C53" s="235" t="s">
        <v>52</v>
      </c>
      <c r="D53" s="236">
        <f>E53*12*2497</f>
        <v>299.64</v>
      </c>
      <c r="E53" s="189">
        <v>0.01</v>
      </c>
      <c r="F53" s="184"/>
    </row>
    <row r="54" spans="1:6" ht="27" customHeight="1">
      <c r="A54" s="313" t="s">
        <v>53</v>
      </c>
      <c r="B54" s="314"/>
      <c r="C54" s="315"/>
      <c r="D54" s="238">
        <f>SUM(D55:D57)</f>
        <v>8989.199999999999</v>
      </c>
      <c r="E54" s="238">
        <f>SUM(E55:E57)</f>
        <v>0.3</v>
      </c>
      <c r="F54" s="184"/>
    </row>
    <row r="55" spans="1:6" ht="25.5" customHeight="1">
      <c r="A55" s="191" t="s">
        <v>54</v>
      </c>
      <c r="B55" s="235" t="s">
        <v>55</v>
      </c>
      <c r="C55" s="235" t="s">
        <v>247</v>
      </c>
      <c r="D55" s="236">
        <f>E55*12*2497</f>
        <v>599.28</v>
      </c>
      <c r="E55" s="237">
        <v>0.02</v>
      </c>
      <c r="F55" s="184"/>
    </row>
    <row r="56" spans="1:6" ht="26.25" customHeight="1">
      <c r="A56" s="191" t="s">
        <v>56</v>
      </c>
      <c r="B56" s="240" t="s">
        <v>57</v>
      </c>
      <c r="C56" s="240" t="s">
        <v>58</v>
      </c>
      <c r="D56" s="236">
        <f>E56*12*2497</f>
        <v>6592.08</v>
      </c>
      <c r="E56" s="237">
        <v>0.22</v>
      </c>
      <c r="F56" s="184"/>
    </row>
    <row r="57" spans="1:6" ht="22.5" customHeight="1">
      <c r="A57" s="191" t="s">
        <v>59</v>
      </c>
      <c r="B57" s="241" t="s">
        <v>17</v>
      </c>
      <c r="C57" s="189" t="s">
        <v>52</v>
      </c>
      <c r="D57" s="236">
        <f>E57*12*2497</f>
        <v>1797.84</v>
      </c>
      <c r="E57" s="237">
        <v>0.06</v>
      </c>
      <c r="F57" s="184"/>
    </row>
    <row r="58" spans="1:6" ht="12.75">
      <c r="A58" s="189"/>
      <c r="B58" s="242" t="s">
        <v>36</v>
      </c>
      <c r="C58" s="189"/>
      <c r="D58" s="281">
        <f>D51+D54</f>
        <v>9588.48</v>
      </c>
      <c r="E58" s="234">
        <f>E51+E54</f>
        <v>0.32</v>
      </c>
      <c r="F58" s="184"/>
    </row>
    <row r="59" spans="1:6" ht="12.75">
      <c r="A59" s="184"/>
      <c r="B59" s="184"/>
      <c r="C59" s="184"/>
      <c r="D59" s="184"/>
      <c r="E59" s="184"/>
      <c r="F59" s="184"/>
    </row>
    <row r="60" spans="1:6" ht="12.75">
      <c r="A60" s="218"/>
      <c r="B60" s="218"/>
      <c r="C60" s="218"/>
      <c r="D60" s="218"/>
      <c r="E60" s="218"/>
      <c r="F60" s="219"/>
    </row>
    <row r="61" spans="1:6" ht="56.25">
      <c r="A61" s="220" t="s">
        <v>3</v>
      </c>
      <c r="B61" s="220" t="s">
        <v>121</v>
      </c>
      <c r="C61" s="220" t="s">
        <v>37</v>
      </c>
      <c r="D61" s="220" t="s">
        <v>38</v>
      </c>
      <c r="E61" s="220" t="s">
        <v>39</v>
      </c>
      <c r="F61" s="220" t="s">
        <v>40</v>
      </c>
    </row>
    <row r="62" spans="1:6" ht="12.75">
      <c r="A62" s="221">
        <v>1</v>
      </c>
      <c r="B62" s="189" t="s">
        <v>41</v>
      </c>
      <c r="C62" s="221" t="s">
        <v>248</v>
      </c>
      <c r="D62" s="221">
        <v>5000</v>
      </c>
      <c r="E62" s="222">
        <f>D62/12/2497</f>
        <v>0.1668669069550127</v>
      </c>
      <c r="F62" s="223">
        <v>2</v>
      </c>
    </row>
    <row r="63" spans="1:6" ht="12.75">
      <c r="A63" s="221">
        <v>2</v>
      </c>
      <c r="B63" s="224" t="s">
        <v>241</v>
      </c>
      <c r="C63" s="221" t="s">
        <v>249</v>
      </c>
      <c r="D63" s="221">
        <v>2975</v>
      </c>
      <c r="E63" s="222">
        <f>D63/12/2497</f>
        <v>0.09928580963823254</v>
      </c>
      <c r="F63" s="221">
        <v>2</v>
      </c>
    </row>
    <row r="64" spans="1:6" ht="12.75">
      <c r="A64" s="243"/>
      <c r="B64" s="244" t="s">
        <v>36</v>
      </c>
      <c r="C64" s="244"/>
      <c r="D64" s="244">
        <f>D62+D63</f>
        <v>7975</v>
      </c>
      <c r="E64" s="245">
        <f>E62+E63</f>
        <v>0.26615271659324524</v>
      </c>
      <c r="F64" s="244"/>
    </row>
    <row r="66" spans="2:3" ht="25.5">
      <c r="B66" s="214" t="s">
        <v>306</v>
      </c>
      <c r="C66" s="231">
        <v>265569.6989014599</v>
      </c>
    </row>
  </sheetData>
  <mergeCells count="14">
    <mergeCell ref="A30:C30"/>
    <mergeCell ref="A51:C51"/>
    <mergeCell ref="B28:B29"/>
    <mergeCell ref="C28:C29"/>
    <mergeCell ref="A54:C54"/>
    <mergeCell ref="A32:C32"/>
    <mergeCell ref="A48:F48"/>
    <mergeCell ref="A2:E2"/>
    <mergeCell ref="A5:E5"/>
    <mergeCell ref="A8:C8"/>
    <mergeCell ref="A11:C11"/>
    <mergeCell ref="A18:C18"/>
    <mergeCell ref="A26:C26"/>
    <mergeCell ref="A28:A29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2">
      <selection activeCell="A19" sqref="A19:C19"/>
    </sheetView>
  </sheetViews>
  <sheetFormatPr defaultColWidth="9.00390625" defaultRowHeight="12.75"/>
  <cols>
    <col min="1" max="1" width="4.625" style="335" customWidth="1"/>
    <col min="2" max="2" width="49.00390625" style="335" customWidth="1"/>
    <col min="3" max="3" width="15.125" style="335" customWidth="1"/>
    <col min="4" max="4" width="11.75390625" style="335" customWidth="1"/>
    <col min="5" max="5" width="11.625" style="335" customWidth="1"/>
    <col min="6" max="16384" width="9.125" style="335" customWidth="1"/>
  </cols>
  <sheetData>
    <row r="1" spans="1:6" ht="15">
      <c r="A1" s="333" t="s">
        <v>375</v>
      </c>
      <c r="B1" s="333"/>
      <c r="C1" s="333"/>
      <c r="D1" s="333"/>
      <c r="E1" s="333"/>
      <c r="F1" s="334"/>
    </row>
    <row r="2" spans="1:6" ht="17.25" customHeight="1">
      <c r="A2" s="334"/>
      <c r="B2" s="336" t="s">
        <v>376</v>
      </c>
      <c r="C2" s="337"/>
      <c r="D2" s="389">
        <v>279.27</v>
      </c>
      <c r="E2" s="339" t="s">
        <v>82</v>
      </c>
      <c r="F2" s="334"/>
    </row>
    <row r="3" spans="1:6" ht="6.75" customHeight="1">
      <c r="A3" s="334"/>
      <c r="B3" s="340"/>
      <c r="C3" s="334"/>
      <c r="D3" s="334"/>
      <c r="E3" s="334"/>
      <c r="F3" s="334"/>
    </row>
    <row r="4" spans="1:6" ht="39.75" customHeight="1">
      <c r="A4" s="333" t="s">
        <v>62</v>
      </c>
      <c r="B4" s="333"/>
      <c r="C4" s="333"/>
      <c r="D4" s="333"/>
      <c r="E4" s="333"/>
      <c r="F4" s="334"/>
    </row>
    <row r="5" spans="1:6" ht="9" customHeight="1">
      <c r="A5" s="336"/>
      <c r="B5" s="336"/>
      <c r="C5" s="336"/>
      <c r="D5" s="336"/>
      <c r="E5" s="336"/>
      <c r="F5" s="334"/>
    </row>
    <row r="6" spans="1:6" ht="89.25" customHeight="1">
      <c r="A6" s="381" t="s">
        <v>3</v>
      </c>
      <c r="B6" s="342" t="s">
        <v>4</v>
      </c>
      <c r="C6" s="342" t="s">
        <v>5</v>
      </c>
      <c r="D6" s="342" t="s">
        <v>6</v>
      </c>
      <c r="E6" s="342" t="s">
        <v>93</v>
      </c>
      <c r="F6" s="334"/>
    </row>
    <row r="7" spans="1:7" ht="15">
      <c r="A7" s="344" t="s">
        <v>129</v>
      </c>
      <c r="B7" s="345"/>
      <c r="C7" s="346"/>
      <c r="D7" s="348">
        <f>D8+D9</f>
        <v>888.1702093879338</v>
      </c>
      <c r="E7" s="348">
        <f>E8+E9</f>
        <v>0.2650273359675624</v>
      </c>
      <c r="F7" s="349"/>
      <c r="G7" s="350"/>
    </row>
    <row r="8" spans="1:7" ht="18" customHeight="1">
      <c r="A8" s="351">
        <v>1</v>
      </c>
      <c r="B8" s="341" t="s">
        <v>26</v>
      </c>
      <c r="C8" s="352" t="s">
        <v>101</v>
      </c>
      <c r="D8" s="354">
        <f>E8*12*D2</f>
        <v>812.5985447282103</v>
      </c>
      <c r="E8" s="361">
        <v>0.24247697709749533</v>
      </c>
      <c r="F8" s="355"/>
      <c r="G8" s="350"/>
    </row>
    <row r="9" spans="1:7" ht="42.75" customHeight="1">
      <c r="A9" s="351">
        <v>2</v>
      </c>
      <c r="B9" s="356" t="s">
        <v>28</v>
      </c>
      <c r="C9" s="356" t="s">
        <v>103</v>
      </c>
      <c r="D9" s="354">
        <f>E9*12*D2</f>
        <v>75.57166465972357</v>
      </c>
      <c r="E9" s="361">
        <v>0.02255035887006707</v>
      </c>
      <c r="F9" s="355"/>
      <c r="G9" s="350"/>
    </row>
    <row r="10" spans="1:9" ht="15">
      <c r="A10" s="344" t="s">
        <v>77</v>
      </c>
      <c r="B10" s="345"/>
      <c r="C10" s="346"/>
      <c r="D10" s="359">
        <f>D11+D12</f>
        <v>215.95493616905327</v>
      </c>
      <c r="E10" s="359">
        <f>E11+E12</f>
        <v>0.06444030751872538</v>
      </c>
      <c r="F10" s="355"/>
      <c r="G10" s="350"/>
      <c r="I10" s="471"/>
    </row>
    <row r="11" spans="1:7" ht="15">
      <c r="A11" s="351" t="s">
        <v>74</v>
      </c>
      <c r="B11" s="360" t="s">
        <v>21</v>
      </c>
      <c r="C11" s="356" t="s">
        <v>13</v>
      </c>
      <c r="D11" s="364">
        <f>E11*12*D2</f>
        <v>108.3895355229999</v>
      </c>
      <c r="E11" s="361">
        <v>0.032343113451438844</v>
      </c>
      <c r="F11" s="362" t="e">
        <f>D11+#REF!+#REF!+D12</f>
        <v>#REF!</v>
      </c>
      <c r="G11" s="363"/>
    </row>
    <row r="12" spans="1:6" ht="43.5" customHeight="1">
      <c r="A12" s="351" t="s">
        <v>130</v>
      </c>
      <c r="B12" s="356" t="s">
        <v>212</v>
      </c>
      <c r="C12" s="356" t="s">
        <v>13</v>
      </c>
      <c r="D12" s="364">
        <f>E12*12*D2</f>
        <v>107.56540064605335</v>
      </c>
      <c r="E12" s="361">
        <v>0.03209719406728654</v>
      </c>
      <c r="F12" s="365"/>
    </row>
    <row r="13" spans="1:6" ht="15">
      <c r="A13" s="344" t="s">
        <v>132</v>
      </c>
      <c r="B13" s="345"/>
      <c r="C13" s="346"/>
      <c r="D13" s="367">
        <f>D14+D15</f>
        <v>5266.658716151054</v>
      </c>
      <c r="E13" s="367">
        <f>E14+E15</f>
        <v>1.5715552202023888</v>
      </c>
      <c r="F13" s="334"/>
    </row>
    <row r="14" spans="1:6" ht="75.75" customHeight="1">
      <c r="A14" s="351" t="s">
        <v>131</v>
      </c>
      <c r="B14" s="356" t="s">
        <v>88</v>
      </c>
      <c r="C14" s="356" t="s">
        <v>13</v>
      </c>
      <c r="D14" s="364">
        <f>E14*12*D2</f>
        <v>267.4840736818819</v>
      </c>
      <c r="E14" s="361">
        <v>0.07981644814512895</v>
      </c>
      <c r="F14" s="334"/>
    </row>
    <row r="15" spans="1:6" ht="15">
      <c r="A15" s="370" t="s">
        <v>133</v>
      </c>
      <c r="B15" s="371" t="s">
        <v>377</v>
      </c>
      <c r="C15" s="371" t="s">
        <v>112</v>
      </c>
      <c r="D15" s="472">
        <f>E15*12*D2</f>
        <v>4999.174642469172</v>
      </c>
      <c r="E15" s="473">
        <v>1.49173877205726</v>
      </c>
      <c r="F15" s="334"/>
    </row>
    <row r="16" spans="1:6" ht="108" customHeight="1">
      <c r="A16" s="375"/>
      <c r="B16" s="376"/>
      <c r="C16" s="376"/>
      <c r="D16" s="474"/>
      <c r="E16" s="473"/>
      <c r="F16" s="334"/>
    </row>
    <row r="17" spans="1:6" ht="15">
      <c r="A17" s="344" t="s">
        <v>215</v>
      </c>
      <c r="B17" s="345"/>
      <c r="C17" s="346"/>
      <c r="D17" s="359">
        <f>D18</f>
        <v>321.5520000000001</v>
      </c>
      <c r="E17" s="359">
        <f>E18</f>
        <v>0.0959501557632399</v>
      </c>
      <c r="F17" s="334"/>
    </row>
    <row r="18" spans="1:6" ht="15.75" customHeight="1">
      <c r="A18" s="378" t="s">
        <v>141</v>
      </c>
      <c r="B18" s="475" t="s">
        <v>68</v>
      </c>
      <c r="C18" s="341" t="s">
        <v>115</v>
      </c>
      <c r="D18" s="354">
        <f>E18*12*D2</f>
        <v>321.5520000000001</v>
      </c>
      <c r="E18" s="361">
        <v>0.0959501557632399</v>
      </c>
      <c r="F18" s="334"/>
    </row>
    <row r="19" spans="1:6" ht="15">
      <c r="A19" s="344" t="s">
        <v>156</v>
      </c>
      <c r="B19" s="380"/>
      <c r="C19" s="380"/>
      <c r="D19" s="359">
        <f>D20</f>
        <v>71.41728927900411</v>
      </c>
      <c r="E19" s="359">
        <f>E20</f>
        <v>0.021310705672826807</v>
      </c>
      <c r="F19" s="334"/>
    </row>
    <row r="20" spans="1:6" ht="45">
      <c r="A20" s="351" t="s">
        <v>135</v>
      </c>
      <c r="B20" s="356" t="s">
        <v>33</v>
      </c>
      <c r="C20" s="341" t="s">
        <v>115</v>
      </c>
      <c r="D20" s="354">
        <f>E20*D2*12</f>
        <v>71.41728927900411</v>
      </c>
      <c r="E20" s="361">
        <v>0.021310705672826807</v>
      </c>
      <c r="F20" s="349"/>
    </row>
    <row r="21" spans="1:6" ht="15">
      <c r="A21" s="381"/>
      <c r="B21" s="382" t="s">
        <v>120</v>
      </c>
      <c r="C21" s="382"/>
      <c r="D21" s="476">
        <f>D7+D10+D13+D17+D19</f>
        <v>6763.753150987045</v>
      </c>
      <c r="E21" s="476">
        <f>E7+E10+E13+E17+E19</f>
        <v>2.018283725124743</v>
      </c>
      <c r="F21" s="385"/>
    </row>
    <row r="22" spans="1:6" ht="7.5" customHeight="1">
      <c r="A22" s="386"/>
      <c r="B22" s="387"/>
      <c r="C22" s="388"/>
      <c r="D22" s="389"/>
      <c r="E22" s="390"/>
      <c r="F22" s="349">
        <f>'[13]пр.Энтузиастов 44В'!AE41</f>
        <v>98.2651329036515</v>
      </c>
    </row>
    <row r="23" spans="1:6" ht="106.5" customHeight="1">
      <c r="A23" s="391" t="s">
        <v>3</v>
      </c>
      <c r="B23" s="391" t="s">
        <v>121</v>
      </c>
      <c r="C23" s="391" t="s">
        <v>37</v>
      </c>
      <c r="D23" s="391" t="s">
        <v>38</v>
      </c>
      <c r="E23" s="391" t="s">
        <v>39</v>
      </c>
      <c r="F23" s="391" t="s">
        <v>40</v>
      </c>
    </row>
    <row r="24" spans="1:6" ht="15" customHeight="1">
      <c r="A24" s="391">
        <v>1</v>
      </c>
      <c r="B24" s="341" t="s">
        <v>41</v>
      </c>
      <c r="C24" s="391" t="s">
        <v>378</v>
      </c>
      <c r="D24" s="391">
        <v>7373.3</v>
      </c>
      <c r="E24" s="392">
        <f>D24/12/D2</f>
        <v>2.2001706830904384</v>
      </c>
      <c r="F24" s="393">
        <v>2</v>
      </c>
    </row>
    <row r="25" spans="1:6" ht="15">
      <c r="A25" s="391"/>
      <c r="B25" s="394" t="s">
        <v>43</v>
      </c>
      <c r="C25" s="395"/>
      <c r="D25" s="396">
        <f>D24</f>
        <v>7373.3</v>
      </c>
      <c r="E25" s="397">
        <f>E24</f>
        <v>2.2001706830904384</v>
      </c>
      <c r="F25" s="398">
        <v>2</v>
      </c>
    </row>
    <row r="26" spans="1:6" ht="11.25" customHeight="1">
      <c r="A26" s="386"/>
      <c r="B26" s="387"/>
      <c r="C26" s="399"/>
      <c r="D26" s="399"/>
      <c r="E26" s="399"/>
      <c r="F26" s="399"/>
    </row>
    <row r="27" spans="1:6" ht="30.75" customHeight="1">
      <c r="A27" s="386"/>
      <c r="B27" s="387" t="s">
        <v>125</v>
      </c>
      <c r="C27" s="400">
        <f>D21+D25</f>
        <v>14137.053150987045</v>
      </c>
      <c r="D27" s="400"/>
      <c r="E27" s="400"/>
      <c r="F27" s="399"/>
    </row>
    <row r="28" spans="1:6" ht="15" customHeight="1">
      <c r="A28" s="386"/>
      <c r="B28" s="387" t="s">
        <v>126</v>
      </c>
      <c r="C28" s="401">
        <f>E21+E25</f>
        <v>4.218454408215182</v>
      </c>
      <c r="D28" s="399"/>
      <c r="E28" s="399"/>
      <c r="F28" s="399"/>
    </row>
    <row r="29" spans="1:6" ht="15">
      <c r="A29" s="334"/>
      <c r="B29" s="334"/>
      <c r="C29" s="334"/>
      <c r="D29" s="334"/>
      <c r="E29" s="334"/>
      <c r="F29" s="334"/>
    </row>
    <row r="30" spans="1:6" ht="27.75" customHeight="1">
      <c r="A30" s="333" t="s">
        <v>217</v>
      </c>
      <c r="B30" s="333"/>
      <c r="C30" s="333"/>
      <c r="D30" s="333"/>
      <c r="E30" s="333"/>
      <c r="F30" s="333"/>
    </row>
    <row r="31" spans="1:6" ht="19.5" customHeight="1">
      <c r="A31" s="336"/>
      <c r="B31" s="336"/>
      <c r="C31" s="336"/>
      <c r="D31" s="334"/>
      <c r="E31" s="334"/>
      <c r="F31" s="334"/>
    </row>
    <row r="32" spans="1:6" ht="90" customHeight="1">
      <c r="A32" s="341"/>
      <c r="B32" s="342" t="s">
        <v>4</v>
      </c>
      <c r="C32" s="342" t="s">
        <v>45</v>
      </c>
      <c r="D32" s="342" t="s">
        <v>6</v>
      </c>
      <c r="E32" s="342" t="s">
        <v>93</v>
      </c>
      <c r="F32" s="334"/>
    </row>
    <row r="33" spans="1:6" ht="29.25" customHeight="1">
      <c r="A33" s="402" t="s">
        <v>47</v>
      </c>
      <c r="B33" s="403"/>
      <c r="C33" s="404"/>
      <c r="D33" s="405"/>
      <c r="E33" s="406"/>
      <c r="F33" s="334"/>
    </row>
    <row r="34" spans="1:6" ht="30.75" customHeight="1">
      <c r="A34" s="351">
        <v>1</v>
      </c>
      <c r="B34" s="407" t="s">
        <v>51</v>
      </c>
      <c r="C34" s="407" t="s">
        <v>52</v>
      </c>
      <c r="D34" s="408">
        <f>E34*12*279.3</f>
        <v>33.516</v>
      </c>
      <c r="E34" s="352">
        <v>0.01</v>
      </c>
      <c r="F34" s="334"/>
    </row>
    <row r="35" spans="1:6" ht="31.5" customHeight="1">
      <c r="A35" s="402" t="s">
        <v>53</v>
      </c>
      <c r="B35" s="409"/>
      <c r="C35" s="410"/>
      <c r="D35" s="411"/>
      <c r="E35" s="348"/>
      <c r="F35" s="334"/>
    </row>
    <row r="36" spans="1:6" ht="29.25" customHeight="1">
      <c r="A36" s="351">
        <v>2</v>
      </c>
      <c r="B36" s="412" t="s">
        <v>17</v>
      </c>
      <c r="C36" s="341" t="s">
        <v>52</v>
      </c>
      <c r="D36" s="408">
        <f>E36*12*279.3</f>
        <v>201.096</v>
      </c>
      <c r="E36" s="477">
        <v>0.06</v>
      </c>
      <c r="F36" s="334"/>
    </row>
    <row r="37" spans="1:6" ht="15">
      <c r="A37" s="341"/>
      <c r="B37" s="414" t="s">
        <v>36</v>
      </c>
      <c r="C37" s="341"/>
      <c r="D37" s="406">
        <f>+D34+D36</f>
        <v>234.612</v>
      </c>
      <c r="E37" s="406">
        <f>+E34+E36</f>
        <v>0.06999999999999999</v>
      </c>
      <c r="F37" s="334"/>
    </row>
    <row r="38" spans="1:6" ht="15">
      <c r="A38" s="334"/>
      <c r="B38" s="334"/>
      <c r="C38" s="334"/>
      <c r="D38" s="334"/>
      <c r="E38" s="334"/>
      <c r="F38" s="334"/>
    </row>
    <row r="39" spans="1:6" ht="15">
      <c r="A39" s="478"/>
      <c r="B39" s="478"/>
      <c r="C39" s="478"/>
      <c r="D39" s="478"/>
      <c r="E39" s="478"/>
      <c r="F39" s="479"/>
    </row>
    <row r="40" spans="1:6" ht="105">
      <c r="A40" s="391" t="s">
        <v>3</v>
      </c>
      <c r="B40" s="391" t="s">
        <v>121</v>
      </c>
      <c r="C40" s="391" t="s">
        <v>37</v>
      </c>
      <c r="D40" s="391" t="s">
        <v>38</v>
      </c>
      <c r="E40" s="391" t="s">
        <v>39</v>
      </c>
      <c r="F40" s="391" t="s">
        <v>40</v>
      </c>
    </row>
    <row r="41" spans="1:6" ht="15.75" customHeight="1">
      <c r="A41" s="391">
        <v>1</v>
      </c>
      <c r="B41" s="341" t="s">
        <v>41</v>
      </c>
      <c r="C41" s="391" t="s">
        <v>379</v>
      </c>
      <c r="D41" s="391">
        <v>1500</v>
      </c>
      <c r="E41" s="392">
        <f>D41/12/279.3</f>
        <v>0.447547440028643</v>
      </c>
      <c r="F41" s="393">
        <v>2</v>
      </c>
    </row>
    <row r="42" spans="1:6" ht="15">
      <c r="A42" s="480"/>
      <c r="B42" s="481" t="s">
        <v>36</v>
      </c>
      <c r="C42" s="482"/>
      <c r="D42" s="482">
        <f>D41</f>
        <v>1500</v>
      </c>
      <c r="E42" s="483">
        <f>E41</f>
        <v>0.447547440028643</v>
      </c>
      <c r="F42" s="482">
        <v>2</v>
      </c>
    </row>
  </sheetData>
  <mergeCells count="15">
    <mergeCell ref="E15:E16"/>
    <mergeCell ref="A1:E1"/>
    <mergeCell ref="A4:E4"/>
    <mergeCell ref="A7:C7"/>
    <mergeCell ref="A13:C13"/>
    <mergeCell ref="A33:C33"/>
    <mergeCell ref="A35:C35"/>
    <mergeCell ref="A10:C10"/>
    <mergeCell ref="D15:D16"/>
    <mergeCell ref="A17:C17"/>
    <mergeCell ref="A19:C19"/>
    <mergeCell ref="A15:A16"/>
    <mergeCell ref="B15:B16"/>
    <mergeCell ref="C15:C16"/>
    <mergeCell ref="A30:F30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73">
      <selection activeCell="C70" sqref="C70"/>
    </sheetView>
  </sheetViews>
  <sheetFormatPr defaultColWidth="9.00390625" defaultRowHeight="12.75"/>
  <cols>
    <col min="1" max="1" width="3.75390625" style="35" customWidth="1"/>
    <col min="2" max="2" width="43.375" style="35" customWidth="1"/>
    <col min="3" max="3" width="17.75390625" style="35" customWidth="1"/>
    <col min="4" max="4" width="11.00390625" style="35" customWidth="1"/>
    <col min="5" max="5" width="12.875" style="35" customWidth="1"/>
    <col min="6" max="16384" width="9.125" style="35" customWidth="1"/>
  </cols>
  <sheetData>
    <row r="1" spans="1:6" ht="15">
      <c r="A1" s="287" t="s">
        <v>192</v>
      </c>
      <c r="B1" s="287"/>
      <c r="C1" s="287"/>
      <c r="D1" s="287"/>
      <c r="E1" s="287"/>
      <c r="F1" s="41"/>
    </row>
    <row r="2" spans="1:6" ht="24" customHeight="1">
      <c r="A2" s="41"/>
      <c r="B2" s="36" t="s">
        <v>193</v>
      </c>
      <c r="C2" s="37"/>
      <c r="D2" s="38">
        <v>53.8</v>
      </c>
      <c r="E2" s="39" t="s">
        <v>82</v>
      </c>
      <c r="F2" s="41"/>
    </row>
    <row r="3" spans="1:6" ht="15">
      <c r="A3" s="41"/>
      <c r="B3" s="40"/>
      <c r="C3" s="41"/>
      <c r="D3" s="41"/>
      <c r="E3" s="41"/>
      <c r="F3" s="41"/>
    </row>
    <row r="4" spans="1:6" ht="30.75" customHeight="1">
      <c r="A4" s="287" t="s">
        <v>62</v>
      </c>
      <c r="B4" s="287"/>
      <c r="C4" s="287"/>
      <c r="D4" s="287"/>
      <c r="E4" s="287"/>
      <c r="F4" s="41"/>
    </row>
    <row r="5" spans="1:6" ht="15">
      <c r="A5" s="36"/>
      <c r="B5" s="36"/>
      <c r="C5" s="36"/>
      <c r="D5" s="36"/>
      <c r="E5" s="36"/>
      <c r="F5" s="41"/>
    </row>
    <row r="6" spans="1:6" ht="71.25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7" ht="15">
      <c r="A7" s="291" t="s">
        <v>138</v>
      </c>
      <c r="B7" s="259"/>
      <c r="C7" s="260"/>
      <c r="D7" s="46">
        <f>SUM(D8:D9)</f>
        <v>296.0567364626444</v>
      </c>
      <c r="E7" s="46">
        <f>SUM(E8:E9)</f>
        <v>0.4585761097624604</v>
      </c>
      <c r="F7" s="62"/>
      <c r="G7" s="63"/>
    </row>
    <row r="8" spans="1:7" ht="15.75" customHeight="1">
      <c r="A8" s="52">
        <v>1</v>
      </c>
      <c r="B8" s="42" t="s">
        <v>26</v>
      </c>
      <c r="C8" s="54" t="s">
        <v>101</v>
      </c>
      <c r="D8" s="55">
        <f>E8*$D$2*12</f>
        <v>270.8661815760699</v>
      </c>
      <c r="E8" s="64">
        <v>0.41955728249081464</v>
      </c>
      <c r="F8" s="60"/>
      <c r="G8" s="63"/>
    </row>
    <row r="9" spans="1:7" ht="30">
      <c r="A9" s="52">
        <v>2</v>
      </c>
      <c r="B9" s="56" t="s">
        <v>28</v>
      </c>
      <c r="C9" s="56" t="s">
        <v>103</v>
      </c>
      <c r="D9" s="55">
        <f>E9*$D$2*12</f>
        <v>25.190554886574503</v>
      </c>
      <c r="E9" s="55">
        <v>0.03901882727164576</v>
      </c>
      <c r="F9" s="60"/>
      <c r="G9" s="63"/>
    </row>
    <row r="10" spans="1:7" ht="15">
      <c r="A10" s="291" t="s">
        <v>77</v>
      </c>
      <c r="B10" s="292"/>
      <c r="C10" s="293"/>
      <c r="D10" s="65">
        <f>SUM(D11:D11)</f>
        <v>37.70240470861445</v>
      </c>
      <c r="E10" s="65">
        <f>SUM(E11:E11)</f>
        <v>0.058399015967494514</v>
      </c>
      <c r="F10" s="60"/>
      <c r="G10" s="63"/>
    </row>
    <row r="11" spans="1:6" ht="60">
      <c r="A11" s="52">
        <v>3</v>
      </c>
      <c r="B11" s="56" t="s">
        <v>139</v>
      </c>
      <c r="C11" s="56" t="s">
        <v>13</v>
      </c>
      <c r="D11" s="55">
        <f>E11*12*$D$2</f>
        <v>37.70240470861445</v>
      </c>
      <c r="E11" s="55">
        <v>0.058399015967494514</v>
      </c>
      <c r="F11" s="41"/>
    </row>
    <row r="12" spans="1:6" ht="15">
      <c r="A12" s="289" t="s">
        <v>132</v>
      </c>
      <c r="B12" s="290"/>
      <c r="C12" s="290"/>
      <c r="D12" s="68">
        <f>SUM(D13:D14)</f>
        <v>307.1311808843414</v>
      </c>
      <c r="E12" s="68">
        <f>SUM(E13:E14)</f>
        <v>0.4757298340835524</v>
      </c>
      <c r="F12" s="41"/>
    </row>
    <row r="13" spans="1:6" ht="60">
      <c r="A13" s="69">
        <v>4</v>
      </c>
      <c r="B13" s="56" t="s">
        <v>140</v>
      </c>
      <c r="C13" s="56" t="s">
        <v>13</v>
      </c>
      <c r="D13" s="55">
        <f>E13*12*$D$2</f>
        <v>98.72203160731544</v>
      </c>
      <c r="E13" s="55">
        <v>0.1529151666779979</v>
      </c>
      <c r="F13" s="41"/>
    </row>
    <row r="14" spans="1:6" ht="60">
      <c r="A14" s="52">
        <v>5</v>
      </c>
      <c r="B14" s="56" t="s">
        <v>71</v>
      </c>
      <c r="C14" s="56" t="s">
        <v>194</v>
      </c>
      <c r="D14" s="55">
        <f>E14*12*$D$2</f>
        <v>208.40914927702596</v>
      </c>
      <c r="E14" s="64">
        <v>0.3228146674055545</v>
      </c>
      <c r="F14" s="41"/>
    </row>
    <row r="15" spans="1:6" ht="15">
      <c r="A15" s="289" t="s">
        <v>134</v>
      </c>
      <c r="B15" s="289"/>
      <c r="C15" s="289"/>
      <c r="D15" s="70">
        <f>SUM(D16)</f>
        <v>160.77600000000027</v>
      </c>
      <c r="E15" s="70">
        <f>SUM(E16)</f>
        <v>0.24903345724907103</v>
      </c>
      <c r="F15" s="41"/>
    </row>
    <row r="16" spans="1:6" ht="15">
      <c r="A16" s="52">
        <v>6</v>
      </c>
      <c r="B16" s="56" t="s">
        <v>68</v>
      </c>
      <c r="C16" s="56" t="s">
        <v>115</v>
      </c>
      <c r="D16" s="55">
        <f>E16*12*$D$2</f>
        <v>160.77600000000027</v>
      </c>
      <c r="E16" s="101">
        <v>0.24903345724907103</v>
      </c>
      <c r="F16" s="41"/>
    </row>
    <row r="17" spans="1:6" ht="15">
      <c r="A17" s="289" t="s">
        <v>116</v>
      </c>
      <c r="B17" s="289"/>
      <c r="C17" s="289"/>
      <c r="D17" s="70">
        <f>SUM(D18:D19)</f>
        <v>52.03290252848355</v>
      </c>
      <c r="E17" s="70">
        <f>SUM(E18:E19)</f>
        <v>0.08059619350756436</v>
      </c>
      <c r="F17" s="41"/>
    </row>
    <row r="18" spans="1:6" ht="45">
      <c r="A18" s="52">
        <v>7</v>
      </c>
      <c r="B18" s="56" t="s">
        <v>33</v>
      </c>
      <c r="C18" s="56" t="s">
        <v>34</v>
      </c>
      <c r="D18" s="55">
        <f>E18*12*$D$2</f>
        <v>9.25611528214757</v>
      </c>
      <c r="E18" s="64">
        <v>0.014337229371356211</v>
      </c>
      <c r="F18" s="41"/>
    </row>
    <row r="19" spans="1:6" ht="30">
      <c r="A19" s="52">
        <v>8</v>
      </c>
      <c r="B19" s="56" t="s">
        <v>195</v>
      </c>
      <c r="C19" s="56" t="s">
        <v>12</v>
      </c>
      <c r="D19" s="55">
        <f>E19*12*$D$2</f>
        <v>42.77678724633598</v>
      </c>
      <c r="E19" s="64">
        <v>0.06625896413620815</v>
      </c>
      <c r="F19" s="41"/>
    </row>
    <row r="20" spans="1:6" ht="15">
      <c r="A20" s="43"/>
      <c r="B20" s="71" t="s">
        <v>120</v>
      </c>
      <c r="C20" s="71"/>
      <c r="D20" s="72">
        <f>D7+D10+D12+D15+D17</f>
        <v>853.699224584084</v>
      </c>
      <c r="E20" s="46">
        <f>E7+E10+E12+E15+E17</f>
        <v>1.3223346105701426</v>
      </c>
      <c r="F20" s="39"/>
    </row>
    <row r="21" spans="1:6" ht="15">
      <c r="A21" s="73"/>
      <c r="B21" s="74"/>
      <c r="C21" s="75"/>
      <c r="D21" s="76"/>
      <c r="E21" s="77"/>
      <c r="F21" s="41"/>
    </row>
    <row r="22" spans="1:6" ht="105">
      <c r="A22" s="45" t="s">
        <v>3</v>
      </c>
      <c r="B22" s="45" t="s">
        <v>121</v>
      </c>
      <c r="C22" s="45" t="s">
        <v>122</v>
      </c>
      <c r="D22" s="45" t="s">
        <v>38</v>
      </c>
      <c r="E22" s="45" t="s">
        <v>181</v>
      </c>
      <c r="F22" s="45" t="s">
        <v>40</v>
      </c>
    </row>
    <row r="23" spans="1:6" ht="15">
      <c r="A23" s="45">
        <v>1</v>
      </c>
      <c r="B23" s="42" t="s">
        <v>41</v>
      </c>
      <c r="C23" s="45" t="s">
        <v>278</v>
      </c>
      <c r="D23" s="45">
        <v>1420.1</v>
      </c>
      <c r="E23" s="80">
        <f>D23/12/D2</f>
        <v>2.199659231722429</v>
      </c>
      <c r="F23" s="81">
        <v>2</v>
      </c>
    </row>
    <row r="24" spans="1:6" ht="15">
      <c r="A24" s="45"/>
      <c r="B24" s="49" t="s">
        <v>36</v>
      </c>
      <c r="C24" s="44"/>
      <c r="D24" s="99">
        <f>D23</f>
        <v>1420.1</v>
      </c>
      <c r="E24" s="82">
        <f>SUM(E23:E23)</f>
        <v>2.199659231722429</v>
      </c>
      <c r="F24" s="83"/>
    </row>
    <row r="25" spans="1:6" ht="15">
      <c r="A25" s="73"/>
      <c r="B25" s="74"/>
      <c r="C25" s="84"/>
      <c r="D25" s="84"/>
      <c r="E25" s="84"/>
      <c r="F25" s="84"/>
    </row>
    <row r="26" spans="1:6" ht="29.25">
      <c r="A26" s="73"/>
      <c r="B26" s="74" t="s">
        <v>125</v>
      </c>
      <c r="C26" s="85">
        <f>D20+D24</f>
        <v>2273.799224584084</v>
      </c>
      <c r="D26" s="85"/>
      <c r="E26" s="85"/>
      <c r="F26" s="84"/>
    </row>
    <row r="27" spans="1:6" ht="15">
      <c r="A27" s="73"/>
      <c r="B27" s="74" t="s">
        <v>126</v>
      </c>
      <c r="C27" s="86">
        <f>E20+E24</f>
        <v>3.5219938422925714</v>
      </c>
      <c r="D27" s="84"/>
      <c r="E27" s="84"/>
      <c r="F27" s="84"/>
    </row>
    <row r="28" spans="1:6" ht="32.25" customHeight="1">
      <c r="A28" s="73"/>
      <c r="B28" s="74"/>
      <c r="C28" s="86"/>
      <c r="D28" s="84"/>
      <c r="E28" s="84"/>
      <c r="F28" s="84"/>
    </row>
    <row r="29" spans="1:6" ht="33" customHeight="1">
      <c r="A29" s="287" t="s">
        <v>44</v>
      </c>
      <c r="B29" s="287"/>
      <c r="C29" s="287"/>
      <c r="D29" s="287"/>
      <c r="E29" s="287"/>
      <c r="F29" s="287"/>
    </row>
    <row r="30" spans="1:6" ht="15">
      <c r="A30" s="36"/>
      <c r="B30" s="36"/>
      <c r="C30" s="36"/>
      <c r="D30" s="41"/>
      <c r="E30" s="41"/>
      <c r="F30" s="41"/>
    </row>
    <row r="31" spans="1:6" ht="71.25">
      <c r="A31" s="42"/>
      <c r="B31" s="43" t="s">
        <v>4</v>
      </c>
      <c r="C31" s="43" t="s">
        <v>5</v>
      </c>
      <c r="D31" s="43" t="s">
        <v>6</v>
      </c>
      <c r="E31" s="43" t="s">
        <v>93</v>
      </c>
      <c r="F31" s="41"/>
    </row>
    <row r="32" spans="1:5" ht="15">
      <c r="A32" s="288" t="s">
        <v>47</v>
      </c>
      <c r="B32" s="288"/>
      <c r="C32" s="288"/>
      <c r="D32" s="46">
        <f>D33</f>
        <v>6.456</v>
      </c>
      <c r="E32" s="46">
        <f>E33</f>
        <v>0.01</v>
      </c>
    </row>
    <row r="33" spans="1:5" ht="30">
      <c r="A33" s="52">
        <v>1</v>
      </c>
      <c r="B33" s="88" t="s">
        <v>51</v>
      </c>
      <c r="C33" s="88" t="s">
        <v>90</v>
      </c>
      <c r="D33" s="55">
        <f>E33*$D$2*12</f>
        <v>6.456</v>
      </c>
      <c r="E33" s="87">
        <v>0.01</v>
      </c>
    </row>
    <row r="34" spans="1:5" ht="32.25" customHeight="1">
      <c r="A34" s="288" t="s">
        <v>53</v>
      </c>
      <c r="B34" s="288"/>
      <c r="C34" s="288"/>
      <c r="D34" s="46">
        <f>D35</f>
        <v>38.736</v>
      </c>
      <c r="E34" s="46">
        <f>E35</f>
        <v>0.06</v>
      </c>
    </row>
    <row r="35" spans="1:5" ht="15">
      <c r="A35" s="52">
        <v>2</v>
      </c>
      <c r="B35" s="123" t="s">
        <v>17</v>
      </c>
      <c r="C35" s="42" t="s">
        <v>90</v>
      </c>
      <c r="D35" s="55">
        <f>E35*$D$2*12</f>
        <v>38.736</v>
      </c>
      <c r="E35" s="58">
        <v>0.06</v>
      </c>
    </row>
    <row r="36" spans="1:6" ht="15">
      <c r="A36" s="43"/>
      <c r="B36" s="71" t="s">
        <v>120</v>
      </c>
      <c r="C36" s="71"/>
      <c r="D36" s="72">
        <f>D32+D34</f>
        <v>45.192</v>
      </c>
      <c r="E36" s="46">
        <f>E32+E34</f>
        <v>0.06999999999999999</v>
      </c>
      <c r="F36" s="39"/>
    </row>
    <row r="37" spans="1:6" ht="15">
      <c r="A37" s="41"/>
      <c r="B37" s="41"/>
      <c r="C37" s="41"/>
      <c r="D37" s="41"/>
      <c r="E37" s="41"/>
      <c r="F37" s="41"/>
    </row>
    <row r="38" spans="1:6" ht="15">
      <c r="A38" s="78"/>
      <c r="B38" s="78"/>
      <c r="C38" s="78"/>
      <c r="D38" s="78"/>
      <c r="E38" s="78"/>
      <c r="F38" s="79"/>
    </row>
    <row r="39" spans="1:6" ht="105">
      <c r="A39" s="45" t="s">
        <v>3</v>
      </c>
      <c r="B39" s="45" t="s">
        <v>121</v>
      </c>
      <c r="C39" s="45" t="s">
        <v>122</v>
      </c>
      <c r="D39" s="45" t="s">
        <v>38</v>
      </c>
      <c r="E39" s="45" t="s">
        <v>196</v>
      </c>
      <c r="F39" s="45" t="s">
        <v>40</v>
      </c>
    </row>
    <row r="40" spans="1:6" ht="15">
      <c r="A40" s="45">
        <v>1</v>
      </c>
      <c r="B40" s="42" t="s">
        <v>41</v>
      </c>
      <c r="C40" s="45" t="s">
        <v>147</v>
      </c>
      <c r="D40" s="90">
        <v>251</v>
      </c>
      <c r="E40" s="91">
        <f>D40/12/$D$2</f>
        <v>0.3887856257744734</v>
      </c>
      <c r="F40" s="81">
        <v>2</v>
      </c>
    </row>
    <row r="41" spans="1:6" ht="15">
      <c r="A41" s="92"/>
      <c r="B41" s="92" t="s">
        <v>36</v>
      </c>
      <c r="C41" s="92"/>
      <c r="D41" s="100">
        <f>D40</f>
        <v>251</v>
      </c>
      <c r="E41" s="100">
        <f>E40</f>
        <v>0.3887856257744734</v>
      </c>
      <c r="F41" s="92"/>
    </row>
    <row r="44" spans="1:6" ht="39" customHeight="1">
      <c r="A44" s="41"/>
      <c r="B44" s="36" t="s">
        <v>197</v>
      </c>
      <c r="C44" s="37"/>
      <c r="D44" s="38">
        <v>38.1</v>
      </c>
      <c r="E44" s="39" t="s">
        <v>82</v>
      </c>
      <c r="F44" s="41"/>
    </row>
    <row r="45" spans="1:6" ht="15">
      <c r="A45" s="41"/>
      <c r="B45" s="40"/>
      <c r="C45" s="41"/>
      <c r="D45" s="41"/>
      <c r="E45" s="41"/>
      <c r="F45" s="41"/>
    </row>
    <row r="46" spans="1:6" ht="30.75" customHeight="1">
      <c r="A46" s="287" t="s">
        <v>62</v>
      </c>
      <c r="B46" s="287"/>
      <c r="C46" s="287"/>
      <c r="D46" s="287"/>
      <c r="E46" s="287"/>
      <c r="F46" s="41"/>
    </row>
    <row r="47" spans="1:6" ht="15">
      <c r="A47" s="36"/>
      <c r="B47" s="36"/>
      <c r="C47" s="36"/>
      <c r="D47" s="36"/>
      <c r="E47" s="36"/>
      <c r="F47" s="41"/>
    </row>
    <row r="48" spans="1:6" ht="71.25">
      <c r="A48" s="42"/>
      <c r="B48" s="43" t="s">
        <v>4</v>
      </c>
      <c r="C48" s="43" t="s">
        <v>5</v>
      </c>
      <c r="D48" s="43" t="s">
        <v>6</v>
      </c>
      <c r="E48" s="43" t="s">
        <v>93</v>
      </c>
      <c r="F48" s="41"/>
    </row>
    <row r="49" spans="1:7" ht="15">
      <c r="A49" s="291" t="s">
        <v>138</v>
      </c>
      <c r="B49" s="259"/>
      <c r="C49" s="260"/>
      <c r="D49" s="46">
        <f>SUM(D50:D51)</f>
        <v>592.1134729252893</v>
      </c>
      <c r="E49" s="46">
        <f>SUM(E50:E51)</f>
        <v>1.2950863362320413</v>
      </c>
      <c r="F49" s="62"/>
      <c r="G49" s="63"/>
    </row>
    <row r="50" spans="1:7" ht="15.75" customHeight="1">
      <c r="A50" s="52">
        <v>1</v>
      </c>
      <c r="B50" s="42" t="s">
        <v>26</v>
      </c>
      <c r="C50" s="54" t="s">
        <v>101</v>
      </c>
      <c r="D50" s="55">
        <f>E50*$D$44*12</f>
        <v>541.7323631521404</v>
      </c>
      <c r="E50" s="64">
        <v>1.1848914329661862</v>
      </c>
      <c r="F50" s="60"/>
      <c r="G50" s="63"/>
    </row>
    <row r="51" spans="1:7" ht="30">
      <c r="A51" s="52">
        <v>2</v>
      </c>
      <c r="B51" s="56" t="s">
        <v>28</v>
      </c>
      <c r="C51" s="56" t="s">
        <v>103</v>
      </c>
      <c r="D51" s="55">
        <f>E51*$D$44*12</f>
        <v>50.38110977314895</v>
      </c>
      <c r="E51" s="55">
        <v>0.1101949032658551</v>
      </c>
      <c r="F51" s="60"/>
      <c r="G51" s="63"/>
    </row>
    <row r="52" spans="1:7" ht="15">
      <c r="A52" s="291" t="s">
        <v>77</v>
      </c>
      <c r="B52" s="292"/>
      <c r="C52" s="293"/>
      <c r="D52" s="65">
        <f>SUM(D53:D53)</f>
        <v>38.05593874014923</v>
      </c>
      <c r="E52" s="65">
        <f>SUM(E53:E53)</f>
        <v>0.0832369613739047</v>
      </c>
      <c r="F52" s="60"/>
      <c r="G52" s="63"/>
    </row>
    <row r="53" spans="1:6" ht="60">
      <c r="A53" s="52">
        <v>3</v>
      </c>
      <c r="B53" s="56" t="s">
        <v>139</v>
      </c>
      <c r="C53" s="56" t="s">
        <v>13</v>
      </c>
      <c r="D53" s="55">
        <f>E53*$D$44*12</f>
        <v>38.05593874014923</v>
      </c>
      <c r="E53" s="55">
        <v>0.0832369613739047</v>
      </c>
      <c r="F53" s="41"/>
    </row>
    <row r="54" spans="1:6" ht="15">
      <c r="A54" s="289" t="s">
        <v>132</v>
      </c>
      <c r="B54" s="290"/>
      <c r="C54" s="290"/>
      <c r="D54" s="68">
        <f>SUM(D55:D56)</f>
        <v>284.8507643157637</v>
      </c>
      <c r="E54" s="68">
        <f>SUM(E55:E56)</f>
        <v>0.6230331677947587</v>
      </c>
      <c r="F54" s="41"/>
    </row>
    <row r="55" spans="1:6" ht="60">
      <c r="A55" s="69">
        <v>4</v>
      </c>
      <c r="B55" s="56" t="s">
        <v>140</v>
      </c>
      <c r="C55" s="56" t="s">
        <v>13</v>
      </c>
      <c r="D55" s="55">
        <f>E55*$D$44*12</f>
        <v>99.7609053084412</v>
      </c>
      <c r="E55" s="55">
        <v>0.2181997053990402</v>
      </c>
      <c r="F55" s="41"/>
    </row>
    <row r="56" spans="1:6" ht="60">
      <c r="A56" s="52">
        <v>5</v>
      </c>
      <c r="B56" s="56" t="s">
        <v>71</v>
      </c>
      <c r="C56" s="56" t="s">
        <v>194</v>
      </c>
      <c r="D56" s="55">
        <f>E56*$D$44*12</f>
        <v>185.08985900732247</v>
      </c>
      <c r="E56" s="64">
        <v>0.40483346239571844</v>
      </c>
      <c r="F56" s="41"/>
    </row>
    <row r="57" spans="1:6" ht="15">
      <c r="A57" s="289" t="s">
        <v>134</v>
      </c>
      <c r="B57" s="289"/>
      <c r="C57" s="289"/>
      <c r="D57" s="70">
        <f>SUM(D58)</f>
        <v>160.77600000000018</v>
      </c>
      <c r="E57" s="70">
        <f>SUM(E58)</f>
        <v>0.351653543307087</v>
      </c>
      <c r="F57" s="41"/>
    </row>
    <row r="58" spans="1:6" ht="15">
      <c r="A58" s="52">
        <v>6</v>
      </c>
      <c r="B58" s="56" t="s">
        <v>68</v>
      </c>
      <c r="C58" s="56" t="s">
        <v>115</v>
      </c>
      <c r="D58" s="55">
        <f>E58*$D$44*12</f>
        <v>160.77600000000018</v>
      </c>
      <c r="E58" s="101">
        <v>0.351653543307087</v>
      </c>
      <c r="F58" s="41"/>
    </row>
    <row r="59" spans="1:6" ht="15">
      <c r="A59" s="289" t="s">
        <v>116</v>
      </c>
      <c r="B59" s="289"/>
      <c r="C59" s="289"/>
      <c r="D59" s="70">
        <f>SUM(D60:D61)</f>
        <v>99.72994805358397</v>
      </c>
      <c r="E59" s="70">
        <f>SUM(E60:E61)</f>
        <v>0.21813199486785642</v>
      </c>
      <c r="F59" s="41"/>
    </row>
    <row r="60" spans="1:6" ht="45">
      <c r="A60" s="52">
        <v>7</v>
      </c>
      <c r="B60" s="56" t="s">
        <v>33</v>
      </c>
      <c r="C60" s="56" t="s">
        <v>34</v>
      </c>
      <c r="D60" s="55">
        <f>E60*$D$44*12</f>
        <v>14.17637356091192</v>
      </c>
      <c r="E60" s="64">
        <v>0.031006941296832714</v>
      </c>
      <c r="F60" s="41"/>
    </row>
    <row r="61" spans="1:6" ht="30">
      <c r="A61" s="52">
        <v>8</v>
      </c>
      <c r="B61" s="56" t="s">
        <v>195</v>
      </c>
      <c r="C61" s="56" t="s">
        <v>12</v>
      </c>
      <c r="D61" s="55">
        <f>E61*$D$44*12</f>
        <v>85.55357449267206</v>
      </c>
      <c r="E61" s="64">
        <v>0.18712505357102371</v>
      </c>
      <c r="F61" s="41"/>
    </row>
    <row r="62" spans="1:6" ht="15">
      <c r="A62" s="43"/>
      <c r="B62" s="71" t="s">
        <v>120</v>
      </c>
      <c r="C62" s="71"/>
      <c r="D62" s="72">
        <f>D49+D52+D54+D57+D59</f>
        <v>1175.5261240347863</v>
      </c>
      <c r="E62" s="46">
        <f>E49+E52+E54+E57+E59</f>
        <v>2.5711420035756487</v>
      </c>
      <c r="F62" s="39"/>
    </row>
    <row r="63" spans="1:6" ht="15">
      <c r="A63" s="73"/>
      <c r="B63" s="74"/>
      <c r="C63" s="75"/>
      <c r="D63" s="76"/>
      <c r="E63" s="77"/>
      <c r="F63" s="41"/>
    </row>
    <row r="64" spans="1:6" ht="15">
      <c r="A64" s="78"/>
      <c r="B64" s="78"/>
      <c r="C64" s="78"/>
      <c r="D64" s="78"/>
      <c r="E64" s="78"/>
      <c r="F64" s="79"/>
    </row>
    <row r="65" spans="1:6" ht="105">
      <c r="A65" s="45" t="s">
        <v>3</v>
      </c>
      <c r="B65" s="45" t="s">
        <v>121</v>
      </c>
      <c r="C65" s="45" t="s">
        <v>122</v>
      </c>
      <c r="D65" s="45" t="s">
        <v>38</v>
      </c>
      <c r="E65" s="45" t="s">
        <v>181</v>
      </c>
      <c r="F65" s="45" t="s">
        <v>40</v>
      </c>
    </row>
    <row r="66" spans="1:6" ht="15">
      <c r="A66" s="45">
        <v>1</v>
      </c>
      <c r="B66" s="42" t="s">
        <v>41</v>
      </c>
      <c r="C66" s="45" t="s">
        <v>279</v>
      </c>
      <c r="D66" s="45">
        <v>1005.4</v>
      </c>
      <c r="E66" s="80">
        <f>D66/12/D44</f>
        <v>2.199037620297463</v>
      </c>
      <c r="F66" s="81">
        <v>2</v>
      </c>
    </row>
    <row r="67" spans="1:6" ht="15">
      <c r="A67" s="45"/>
      <c r="B67" s="49" t="s">
        <v>36</v>
      </c>
      <c r="C67" s="44"/>
      <c r="D67" s="99">
        <f>D66</f>
        <v>1005.4</v>
      </c>
      <c r="E67" s="82">
        <f>SUM(E66:E66)</f>
        <v>2.199037620297463</v>
      </c>
      <c r="F67" s="83"/>
    </row>
    <row r="68" spans="1:6" ht="15">
      <c r="A68" s="73"/>
      <c r="B68" s="74"/>
      <c r="C68" s="84"/>
      <c r="D68" s="84"/>
      <c r="E68" s="84"/>
      <c r="F68" s="84"/>
    </row>
    <row r="69" spans="1:6" ht="29.25">
      <c r="A69" s="73"/>
      <c r="B69" s="74" t="s">
        <v>125</v>
      </c>
      <c r="C69" s="85">
        <f>D62+D67</f>
        <v>2180.9261240347864</v>
      </c>
      <c r="D69" s="85"/>
      <c r="E69" s="85"/>
      <c r="F69" s="84"/>
    </row>
    <row r="70" spans="1:6" ht="15">
      <c r="A70" s="73"/>
      <c r="B70" s="74" t="s">
        <v>126</v>
      </c>
      <c r="C70" s="86">
        <f>E62+E67</f>
        <v>4.770179623873112</v>
      </c>
      <c r="D70" s="84"/>
      <c r="E70" s="84"/>
      <c r="F70" s="84"/>
    </row>
    <row r="71" spans="1:6" ht="15">
      <c r="A71" s="73"/>
      <c r="B71" s="74"/>
      <c r="C71" s="86"/>
      <c r="D71" s="84"/>
      <c r="E71" s="84"/>
      <c r="F71" s="84"/>
    </row>
    <row r="72" spans="1:6" ht="15">
      <c r="A72" s="41"/>
      <c r="B72" s="41"/>
      <c r="C72" s="41"/>
      <c r="D72" s="41"/>
      <c r="E72" s="41"/>
      <c r="F72" s="41"/>
    </row>
    <row r="73" spans="1:6" ht="33" customHeight="1">
      <c r="A73" s="287" t="s">
        <v>44</v>
      </c>
      <c r="B73" s="287"/>
      <c r="C73" s="287"/>
      <c r="D73" s="287"/>
      <c r="E73" s="287"/>
      <c r="F73" s="287"/>
    </row>
    <row r="74" spans="1:6" ht="15">
      <c r="A74" s="36"/>
      <c r="B74" s="36"/>
      <c r="C74" s="36"/>
      <c r="D74" s="41"/>
      <c r="E74" s="41"/>
      <c r="F74" s="41"/>
    </row>
    <row r="75" spans="1:6" ht="71.25">
      <c r="A75" s="42"/>
      <c r="B75" s="43" t="s">
        <v>4</v>
      </c>
      <c r="C75" s="43" t="s">
        <v>5</v>
      </c>
      <c r="D75" s="43" t="s">
        <v>6</v>
      </c>
      <c r="E75" s="43" t="s">
        <v>93</v>
      </c>
      <c r="F75" s="41"/>
    </row>
    <row r="76" spans="1:5" ht="15">
      <c r="A76" s="288" t="s">
        <v>47</v>
      </c>
      <c r="B76" s="288"/>
      <c r="C76" s="288"/>
      <c r="D76" s="46">
        <f>D77</f>
        <v>4.572</v>
      </c>
      <c r="E76" s="46">
        <f>E77</f>
        <v>0.01</v>
      </c>
    </row>
    <row r="77" spans="1:5" ht="30">
      <c r="A77" s="52">
        <v>1</v>
      </c>
      <c r="B77" s="88" t="s">
        <v>51</v>
      </c>
      <c r="C77" s="88" t="s">
        <v>90</v>
      </c>
      <c r="D77" s="55">
        <f>E77*$D$44*12</f>
        <v>4.572</v>
      </c>
      <c r="E77" s="87">
        <v>0.01</v>
      </c>
    </row>
    <row r="78" spans="1:5" ht="32.25" customHeight="1">
      <c r="A78" s="288" t="s">
        <v>53</v>
      </c>
      <c r="B78" s="288"/>
      <c r="C78" s="288"/>
      <c r="D78" s="46">
        <f>D79</f>
        <v>27.432000000000002</v>
      </c>
      <c r="E78" s="46">
        <f>E79</f>
        <v>0.06</v>
      </c>
    </row>
    <row r="79" spans="1:5" ht="15">
      <c r="A79" s="52">
        <v>2</v>
      </c>
      <c r="B79" s="123" t="s">
        <v>17</v>
      </c>
      <c r="C79" s="42" t="s">
        <v>90</v>
      </c>
      <c r="D79" s="55">
        <f>E79*$D$44*12</f>
        <v>27.432000000000002</v>
      </c>
      <c r="E79" s="58">
        <v>0.06</v>
      </c>
    </row>
    <row r="80" spans="1:6" ht="15">
      <c r="A80" s="43"/>
      <c r="B80" s="71" t="s">
        <v>120</v>
      </c>
      <c r="C80" s="71"/>
      <c r="D80" s="72">
        <f>D76+D78</f>
        <v>32.004000000000005</v>
      </c>
      <c r="E80" s="46">
        <f>E76+E78</f>
        <v>0.06999999999999999</v>
      </c>
      <c r="F80" s="39"/>
    </row>
    <row r="82" spans="1:6" ht="43.5">
      <c r="A82" s="41"/>
      <c r="B82" s="74" t="s">
        <v>191</v>
      </c>
      <c r="C82" s="85">
        <f>C26+C69</f>
        <v>4454.725348618871</v>
      </c>
      <c r="D82" s="41"/>
      <c r="E82" s="41"/>
      <c r="F82" s="41"/>
    </row>
  </sheetData>
  <mergeCells count="19">
    <mergeCell ref="A78:C78"/>
    <mergeCell ref="A34:C34"/>
    <mergeCell ref="A46:E46"/>
    <mergeCell ref="A49:C49"/>
    <mergeCell ref="A52:C52"/>
    <mergeCell ref="A29:F29"/>
    <mergeCell ref="A32:C32"/>
    <mergeCell ref="A73:F73"/>
    <mergeCell ref="A76:C76"/>
    <mergeCell ref="A1:E1"/>
    <mergeCell ref="A4:E4"/>
    <mergeCell ref="A57:C57"/>
    <mergeCell ref="A59:C59"/>
    <mergeCell ref="A7:C7"/>
    <mergeCell ref="A12:C12"/>
    <mergeCell ref="A10:C10"/>
    <mergeCell ref="A54:C54"/>
    <mergeCell ref="A17:C17"/>
    <mergeCell ref="A15:C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70" sqref="C70"/>
    </sheetView>
  </sheetViews>
  <sheetFormatPr defaultColWidth="9.00390625" defaultRowHeight="12.75"/>
  <cols>
    <col min="1" max="1" width="3.75390625" style="35" customWidth="1"/>
    <col min="2" max="2" width="43.375" style="35" customWidth="1"/>
    <col min="3" max="3" width="17.75390625" style="35" customWidth="1"/>
    <col min="4" max="4" width="11.00390625" style="35" customWidth="1"/>
    <col min="5" max="5" width="12.875" style="35" customWidth="1"/>
    <col min="6" max="16384" width="9.125" style="35" customWidth="1"/>
  </cols>
  <sheetData>
    <row r="1" spans="1:6" ht="15">
      <c r="A1" s="287" t="s">
        <v>198</v>
      </c>
      <c r="B1" s="287"/>
      <c r="C1" s="287"/>
      <c r="D1" s="287"/>
      <c r="E1" s="287"/>
      <c r="F1" s="41"/>
    </row>
    <row r="2" spans="1:6" ht="21.75" customHeight="1">
      <c r="A2" s="41"/>
      <c r="B2" s="36" t="s">
        <v>199</v>
      </c>
      <c r="C2" s="37"/>
      <c r="D2" s="38">
        <v>19.6</v>
      </c>
      <c r="E2" s="39" t="s">
        <v>82</v>
      </c>
      <c r="F2" s="41"/>
    </row>
    <row r="3" spans="1:6" ht="15">
      <c r="A3" s="41"/>
      <c r="B3" s="40"/>
      <c r="C3" s="41"/>
      <c r="D3" s="41"/>
      <c r="E3" s="41"/>
      <c r="F3" s="41"/>
    </row>
    <row r="4" spans="1:6" ht="30.75" customHeight="1">
      <c r="A4" s="287" t="s">
        <v>62</v>
      </c>
      <c r="B4" s="287"/>
      <c r="C4" s="287"/>
      <c r="D4" s="287"/>
      <c r="E4" s="287"/>
      <c r="F4" s="41"/>
    </row>
    <row r="5" spans="1:6" ht="15">
      <c r="A5" s="36"/>
      <c r="B5" s="36"/>
      <c r="C5" s="36"/>
      <c r="D5" s="36"/>
      <c r="E5" s="36"/>
      <c r="F5" s="41"/>
    </row>
    <row r="6" spans="1:6" ht="71.25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7" ht="15">
      <c r="A7" s="291" t="s">
        <v>129</v>
      </c>
      <c r="B7" s="259"/>
      <c r="C7" s="260"/>
      <c r="D7" s="46">
        <f>SUM(D8:D9)</f>
        <v>444.0851046939665</v>
      </c>
      <c r="E7" s="46">
        <f>SUM(E8:E9)</f>
        <v>1.888116941726048</v>
      </c>
      <c r="F7" s="62"/>
      <c r="G7" s="63"/>
    </row>
    <row r="8" spans="1:7" ht="15.75" customHeight="1">
      <c r="A8" s="52">
        <v>1</v>
      </c>
      <c r="B8" s="42" t="s">
        <v>26</v>
      </c>
      <c r="C8" s="54" t="s">
        <v>101</v>
      </c>
      <c r="D8" s="55">
        <f>E8*$D$2*12</f>
        <v>406.29927236410475</v>
      </c>
      <c r="E8" s="64">
        <v>1.727462892704527</v>
      </c>
      <c r="F8" s="60"/>
      <c r="G8" s="63"/>
    </row>
    <row r="9" spans="1:7" ht="30">
      <c r="A9" s="52">
        <v>2</v>
      </c>
      <c r="B9" s="56" t="s">
        <v>28</v>
      </c>
      <c r="C9" s="56" t="s">
        <v>103</v>
      </c>
      <c r="D9" s="55">
        <f>E9*$D$2*12</f>
        <v>37.78583232986175</v>
      </c>
      <c r="E9" s="55">
        <v>0.160654049021521</v>
      </c>
      <c r="F9" s="60"/>
      <c r="G9" s="63"/>
    </row>
    <row r="10" spans="1:7" ht="15">
      <c r="A10" s="291" t="s">
        <v>77</v>
      </c>
      <c r="B10" s="292"/>
      <c r="C10" s="293"/>
      <c r="D10" s="65">
        <f>SUM(D11:D12)</f>
        <v>85.83395646698415</v>
      </c>
      <c r="E10" s="65">
        <f>SUM(E11:E12)</f>
        <v>0.36494029110112314</v>
      </c>
      <c r="F10" s="60"/>
      <c r="G10" s="63"/>
    </row>
    <row r="11" spans="1:7" ht="15">
      <c r="A11" s="52">
        <v>3</v>
      </c>
      <c r="B11" s="56" t="s">
        <v>87</v>
      </c>
      <c r="C11" s="56" t="s">
        <v>13</v>
      </c>
      <c r="D11" s="55">
        <f>E11*12*$D$2</f>
        <v>40.424509870911386</v>
      </c>
      <c r="E11" s="58">
        <v>0.17187291611782052</v>
      </c>
      <c r="F11" s="67"/>
      <c r="G11" s="63"/>
    </row>
    <row r="12" spans="1:6" ht="60">
      <c r="A12" s="52">
        <v>4</v>
      </c>
      <c r="B12" s="56" t="s">
        <v>139</v>
      </c>
      <c r="C12" s="56" t="s">
        <v>13</v>
      </c>
      <c r="D12" s="55">
        <f>E12*12*$D$2</f>
        <v>45.40944659607277</v>
      </c>
      <c r="E12" s="55">
        <v>0.1930673749833026</v>
      </c>
      <c r="F12" s="41"/>
    </row>
    <row r="13" spans="1:6" ht="15">
      <c r="A13" s="289" t="s">
        <v>132</v>
      </c>
      <c r="B13" s="290"/>
      <c r="C13" s="290"/>
      <c r="D13" s="68">
        <f>SUM(D14:D15)</f>
        <v>281.62936387696953</v>
      </c>
      <c r="E13" s="68">
        <f>SUM(E14:E15)</f>
        <v>1.1974037579803125</v>
      </c>
      <c r="F13" s="41"/>
    </row>
    <row r="14" spans="1:6" ht="60">
      <c r="A14" s="69">
        <v>5</v>
      </c>
      <c r="B14" s="56" t="s">
        <v>140</v>
      </c>
      <c r="C14" s="56" t="s">
        <v>13</v>
      </c>
      <c r="D14" s="55">
        <f>E14*12*$D$2</f>
        <v>98.31770261242907</v>
      </c>
      <c r="E14" s="55">
        <v>0.41801744308005556</v>
      </c>
      <c r="F14" s="41"/>
    </row>
    <row r="15" spans="1:6" ht="60">
      <c r="A15" s="52">
        <v>6</v>
      </c>
      <c r="B15" s="56" t="s">
        <v>71</v>
      </c>
      <c r="C15" s="56" t="s">
        <v>194</v>
      </c>
      <c r="D15" s="55">
        <f>E15*12*$D$2</f>
        <v>183.31166126454045</v>
      </c>
      <c r="E15" s="64">
        <v>0.7793863149002569</v>
      </c>
      <c r="F15" s="41"/>
    </row>
    <row r="16" spans="1:6" ht="15">
      <c r="A16" s="289" t="s">
        <v>134</v>
      </c>
      <c r="B16" s="289"/>
      <c r="C16" s="289"/>
      <c r="D16" s="70">
        <f>SUM(D17)</f>
        <v>160.7759999999999</v>
      </c>
      <c r="E16" s="70">
        <f>SUM(E17)</f>
        <v>0.6835714285714282</v>
      </c>
      <c r="F16" s="41"/>
    </row>
    <row r="17" spans="1:6" ht="15">
      <c r="A17" s="52">
        <v>7</v>
      </c>
      <c r="B17" s="56" t="s">
        <v>68</v>
      </c>
      <c r="C17" s="56" t="s">
        <v>115</v>
      </c>
      <c r="D17" s="55">
        <f>E17*12*$D$2</f>
        <v>160.7759999999999</v>
      </c>
      <c r="E17" s="101">
        <v>0.6835714285714282</v>
      </c>
      <c r="F17" s="41"/>
    </row>
    <row r="18" spans="1:6" ht="15">
      <c r="A18" s="289" t="s">
        <v>116</v>
      </c>
      <c r="B18" s="289"/>
      <c r="C18" s="289"/>
      <c r="D18" s="70">
        <f>SUM(D19:D20)</f>
        <v>76.12299100818379</v>
      </c>
      <c r="E18" s="70">
        <f>SUM(E19:E20)</f>
        <v>0.3236521726538426</v>
      </c>
      <c r="F18" s="41"/>
    </row>
    <row r="19" spans="1:6" ht="45">
      <c r="A19" s="52">
        <v>8</v>
      </c>
      <c r="B19" s="56" t="s">
        <v>33</v>
      </c>
      <c r="C19" s="56" t="s">
        <v>34</v>
      </c>
      <c r="D19" s="55">
        <f>E19*12*$D$2</f>
        <v>11.957810138679644</v>
      </c>
      <c r="E19" s="64">
        <v>0.05084102950118896</v>
      </c>
      <c r="F19" s="41"/>
    </row>
    <row r="20" spans="1:6" ht="30">
      <c r="A20" s="52">
        <v>9</v>
      </c>
      <c r="B20" s="56" t="s">
        <v>195</v>
      </c>
      <c r="C20" s="56" t="s">
        <v>12</v>
      </c>
      <c r="D20" s="55">
        <f>E20*12*$D$2</f>
        <v>64.16518086950414</v>
      </c>
      <c r="E20" s="64">
        <v>0.27281114315265365</v>
      </c>
      <c r="F20" s="41"/>
    </row>
    <row r="21" spans="1:6" ht="15">
      <c r="A21" s="43"/>
      <c r="B21" s="71" t="s">
        <v>120</v>
      </c>
      <c r="C21" s="71"/>
      <c r="D21" s="72">
        <f>D7+D10+D13+D16+D18</f>
        <v>1048.4474160461039</v>
      </c>
      <c r="E21" s="46">
        <f>E7+E10+E13+E16+E18</f>
        <v>4.457684592032754</v>
      </c>
      <c r="F21" s="39"/>
    </row>
    <row r="22" spans="1:6" ht="15">
      <c r="A22" s="73"/>
      <c r="B22" s="74"/>
      <c r="C22" s="75"/>
      <c r="D22" s="76"/>
      <c r="E22" s="77"/>
      <c r="F22" s="41"/>
    </row>
    <row r="23" spans="1:6" ht="105">
      <c r="A23" s="45" t="s">
        <v>3</v>
      </c>
      <c r="B23" s="45" t="s">
        <v>121</v>
      </c>
      <c r="C23" s="45" t="s">
        <v>122</v>
      </c>
      <c r="D23" s="45" t="s">
        <v>38</v>
      </c>
      <c r="E23" s="45" t="s">
        <v>181</v>
      </c>
      <c r="F23" s="45" t="s">
        <v>40</v>
      </c>
    </row>
    <row r="24" spans="1:6" ht="15">
      <c r="A24" s="45">
        <v>1</v>
      </c>
      <c r="B24" s="42" t="s">
        <v>41</v>
      </c>
      <c r="C24" s="45" t="s">
        <v>137</v>
      </c>
      <c r="D24" s="45">
        <v>517.44</v>
      </c>
      <c r="E24" s="80">
        <f>D24/12/D2</f>
        <v>2.2</v>
      </c>
      <c r="F24" s="81">
        <v>2</v>
      </c>
    </row>
    <row r="25" spans="1:6" ht="15">
      <c r="A25" s="45"/>
      <c r="B25" s="49" t="s">
        <v>36</v>
      </c>
      <c r="C25" s="44"/>
      <c r="D25" s="122">
        <f>D24</f>
        <v>517.44</v>
      </c>
      <c r="E25" s="82">
        <f>SUM(E24:E24)</f>
        <v>2.2</v>
      </c>
      <c r="F25" s="83"/>
    </row>
    <row r="26" spans="1:6" ht="15">
      <c r="A26" s="73"/>
      <c r="B26" s="74"/>
      <c r="C26" s="84"/>
      <c r="D26" s="84"/>
      <c r="E26" s="84"/>
      <c r="F26" s="84"/>
    </row>
    <row r="27" spans="1:6" ht="29.25">
      <c r="A27" s="73"/>
      <c r="B27" s="74" t="s">
        <v>125</v>
      </c>
      <c r="C27" s="85">
        <f>D21+D25</f>
        <v>1565.887416046104</v>
      </c>
      <c r="D27" s="85"/>
      <c r="E27" s="85"/>
      <c r="F27" s="84"/>
    </row>
    <row r="28" spans="1:6" ht="15">
      <c r="A28" s="73"/>
      <c r="B28" s="74" t="s">
        <v>126</v>
      </c>
      <c r="C28" s="86">
        <f>E21+E25</f>
        <v>6.657684592032754</v>
      </c>
      <c r="D28" s="84"/>
      <c r="E28" s="84"/>
      <c r="F28" s="84"/>
    </row>
    <row r="29" spans="1:6" ht="15">
      <c r="A29" s="73"/>
      <c r="B29" s="74"/>
      <c r="C29" s="86"/>
      <c r="D29" s="84"/>
      <c r="E29" s="84"/>
      <c r="F29" s="84"/>
    </row>
    <row r="30" spans="1:6" ht="33" customHeight="1">
      <c r="A30" s="287" t="s">
        <v>44</v>
      </c>
      <c r="B30" s="287"/>
      <c r="C30" s="287"/>
      <c r="D30" s="287"/>
      <c r="E30" s="287"/>
      <c r="F30" s="287"/>
    </row>
    <row r="31" spans="1:6" ht="15">
      <c r="A31" s="36"/>
      <c r="B31" s="36"/>
      <c r="C31" s="36"/>
      <c r="D31" s="41"/>
      <c r="E31" s="41"/>
      <c r="F31" s="41"/>
    </row>
    <row r="32" spans="1:6" ht="71.25">
      <c r="A32" s="42"/>
      <c r="B32" s="43" t="s">
        <v>4</v>
      </c>
      <c r="C32" s="43" t="s">
        <v>5</v>
      </c>
      <c r="D32" s="43" t="s">
        <v>6</v>
      </c>
      <c r="E32" s="43" t="s">
        <v>93</v>
      </c>
      <c r="F32" s="41"/>
    </row>
    <row r="33" spans="1:5" ht="15">
      <c r="A33" s="288" t="s">
        <v>47</v>
      </c>
      <c r="B33" s="288"/>
      <c r="C33" s="288"/>
      <c r="D33" s="46">
        <f>D34</f>
        <v>2.3520000000000003</v>
      </c>
      <c r="E33" s="46">
        <f>E34</f>
        <v>0.01</v>
      </c>
    </row>
    <row r="34" spans="1:5" ht="30">
      <c r="A34" s="52">
        <v>1</v>
      </c>
      <c r="B34" s="88" t="s">
        <v>51</v>
      </c>
      <c r="C34" s="88" t="s">
        <v>90</v>
      </c>
      <c r="D34" s="55">
        <f>E34*$D$2*12</f>
        <v>2.3520000000000003</v>
      </c>
      <c r="E34" s="87">
        <v>0.01</v>
      </c>
    </row>
    <row r="35" spans="1:5" ht="32.25" customHeight="1">
      <c r="A35" s="288" t="s">
        <v>53</v>
      </c>
      <c r="B35" s="288"/>
      <c r="C35" s="288"/>
      <c r="D35" s="46">
        <f>D36</f>
        <v>14.111999999999998</v>
      </c>
      <c r="E35" s="46">
        <f>E36</f>
        <v>0.06</v>
      </c>
    </row>
    <row r="36" spans="1:5" ht="15">
      <c r="A36" s="52">
        <v>2</v>
      </c>
      <c r="B36" s="123" t="s">
        <v>17</v>
      </c>
      <c r="C36" s="42" t="s">
        <v>90</v>
      </c>
      <c r="D36" s="55">
        <f>E36*$D$2*12</f>
        <v>14.111999999999998</v>
      </c>
      <c r="E36" s="58">
        <v>0.06</v>
      </c>
    </row>
    <row r="37" spans="1:6" ht="15">
      <c r="A37" s="43"/>
      <c r="B37" s="71" t="s">
        <v>120</v>
      </c>
      <c r="C37" s="71"/>
      <c r="D37" s="72">
        <f>D33+D35</f>
        <v>16.464</v>
      </c>
      <c r="E37" s="46">
        <f>E33+E35</f>
        <v>0.06999999999999999</v>
      </c>
      <c r="F37" s="39"/>
    </row>
    <row r="38" spans="1:6" ht="15">
      <c r="A38" s="41"/>
      <c r="B38" s="41"/>
      <c r="C38" s="41"/>
      <c r="D38" s="41"/>
      <c r="E38" s="41"/>
      <c r="F38" s="41"/>
    </row>
    <row r="40" spans="2:3" ht="29.25">
      <c r="B40" s="74" t="s">
        <v>290</v>
      </c>
      <c r="C40" s="128">
        <v>1565.887416046104</v>
      </c>
    </row>
  </sheetData>
  <mergeCells count="10">
    <mergeCell ref="A1:E1"/>
    <mergeCell ref="A4:E4"/>
    <mergeCell ref="A7:C7"/>
    <mergeCell ref="A13:C13"/>
    <mergeCell ref="A10:C10"/>
    <mergeCell ref="A35:C35"/>
    <mergeCell ref="A18:C18"/>
    <mergeCell ref="A16:C16"/>
    <mergeCell ref="A30:F30"/>
    <mergeCell ref="A33:C3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8">
      <selection activeCell="C70" sqref="C70"/>
    </sheetView>
  </sheetViews>
  <sheetFormatPr defaultColWidth="9.00390625" defaultRowHeight="12.75"/>
  <cols>
    <col min="1" max="1" width="4.375" style="130" customWidth="1"/>
    <col min="2" max="2" width="38.00390625" style="130" customWidth="1"/>
    <col min="3" max="3" width="16.375" style="130" customWidth="1"/>
    <col min="4" max="4" width="11.75390625" style="130" customWidth="1"/>
    <col min="5" max="5" width="16.00390625" style="130" customWidth="1"/>
    <col min="6" max="6" width="9.125" style="130" customWidth="1"/>
    <col min="7" max="7" width="13.125" style="130" bestFit="1" customWidth="1"/>
    <col min="8" max="16384" width="9.125" style="130" customWidth="1"/>
  </cols>
  <sheetData>
    <row r="1" spans="1:6" ht="15.75">
      <c r="A1" s="303" t="s">
        <v>210</v>
      </c>
      <c r="B1" s="303"/>
      <c r="C1" s="303"/>
      <c r="D1" s="303"/>
      <c r="E1" s="303"/>
      <c r="F1" s="129"/>
    </row>
    <row r="2" spans="1:6" ht="20.25" customHeight="1">
      <c r="A2" s="129"/>
      <c r="B2" s="131" t="s">
        <v>211</v>
      </c>
      <c r="C2" s="132"/>
      <c r="D2" s="269">
        <v>51.5</v>
      </c>
      <c r="E2" s="133" t="s">
        <v>82</v>
      </c>
      <c r="F2" s="129"/>
    </row>
    <row r="3" spans="1:6" ht="12.75">
      <c r="A3" s="129"/>
      <c r="B3" s="134"/>
      <c r="C3" s="129"/>
      <c r="D3" s="129"/>
      <c r="E3" s="129"/>
      <c r="F3" s="129"/>
    </row>
    <row r="4" spans="1:6" ht="33" customHeight="1">
      <c r="A4" s="261" t="s">
        <v>62</v>
      </c>
      <c r="B4" s="261"/>
      <c r="C4" s="261"/>
      <c r="D4" s="261"/>
      <c r="E4" s="261"/>
      <c r="F4" s="129"/>
    </row>
    <row r="5" spans="1:6" ht="12.75">
      <c r="A5" s="135"/>
      <c r="B5" s="135"/>
      <c r="C5" s="135"/>
      <c r="D5" s="135"/>
      <c r="E5" s="135"/>
      <c r="F5" s="129"/>
    </row>
    <row r="6" spans="1:6" ht="54" customHeight="1">
      <c r="A6" s="136"/>
      <c r="B6" s="137" t="s">
        <v>4</v>
      </c>
      <c r="C6" s="137" t="s">
        <v>5</v>
      </c>
      <c r="D6" s="137" t="s">
        <v>6</v>
      </c>
      <c r="E6" s="137" t="s">
        <v>93</v>
      </c>
      <c r="F6" s="129"/>
    </row>
    <row r="7" spans="1:6" ht="12.75">
      <c r="A7" s="296" t="s">
        <v>129</v>
      </c>
      <c r="B7" s="297"/>
      <c r="C7" s="298"/>
      <c r="D7" s="267">
        <f>D8+D9</f>
        <v>890.538</v>
      </c>
      <c r="E7" s="267">
        <f>E8+E9</f>
        <v>1.441</v>
      </c>
      <c r="F7" s="138" t="e">
        <f>E8+E9+#REF!</f>
        <v>#REF!</v>
      </c>
    </row>
    <row r="8" spans="1:7" ht="12.75" customHeight="1">
      <c r="A8" s="140">
        <v>1</v>
      </c>
      <c r="B8" s="136" t="s">
        <v>26</v>
      </c>
      <c r="C8" s="141" t="s">
        <v>101</v>
      </c>
      <c r="D8" s="144">
        <f>E8*12*$D$2</f>
        <v>815.76</v>
      </c>
      <c r="E8" s="144">
        <v>1.32</v>
      </c>
      <c r="F8" s="142"/>
      <c r="G8" s="139"/>
    </row>
    <row r="9" spans="1:7" ht="30.75" customHeight="1">
      <c r="A9" s="140">
        <v>2</v>
      </c>
      <c r="B9" s="143" t="s">
        <v>28</v>
      </c>
      <c r="C9" s="143" t="s">
        <v>103</v>
      </c>
      <c r="D9" s="144">
        <f>E9*12*$D$2</f>
        <v>74.778</v>
      </c>
      <c r="E9" s="144">
        <v>0.12100000000000001</v>
      </c>
      <c r="F9" s="142"/>
      <c r="G9" s="139"/>
    </row>
    <row r="10" spans="1:7" ht="19.5" customHeight="1">
      <c r="A10" s="296" t="s">
        <v>77</v>
      </c>
      <c r="B10" s="297"/>
      <c r="C10" s="298"/>
      <c r="D10" s="267">
        <f>D11</f>
        <v>47.586000000000006</v>
      </c>
      <c r="E10" s="267">
        <f>E11</f>
        <v>0.07700000000000001</v>
      </c>
      <c r="F10" s="142"/>
      <c r="G10" s="139"/>
    </row>
    <row r="11" spans="1:6" ht="50.25" customHeight="1">
      <c r="A11" s="140" t="s">
        <v>130</v>
      </c>
      <c r="B11" s="143" t="s">
        <v>212</v>
      </c>
      <c r="C11" s="143" t="s">
        <v>13</v>
      </c>
      <c r="D11" s="144">
        <f>E11*12*$D$2</f>
        <v>47.586000000000006</v>
      </c>
      <c r="E11" s="144">
        <v>0.07700000000000001</v>
      </c>
      <c r="F11" s="145"/>
    </row>
    <row r="12" spans="1:6" ht="12.75">
      <c r="A12" s="296" t="s">
        <v>132</v>
      </c>
      <c r="B12" s="297"/>
      <c r="C12" s="298"/>
      <c r="D12" s="267">
        <f>D13+D14+D15</f>
        <v>870.144</v>
      </c>
      <c r="E12" s="267">
        <f>E13+E14+E15</f>
        <v>1.408</v>
      </c>
      <c r="F12" s="129"/>
    </row>
    <row r="13" spans="1:6" ht="66" customHeight="1">
      <c r="A13" s="140" t="s">
        <v>131</v>
      </c>
      <c r="B13" s="143" t="s">
        <v>89</v>
      </c>
      <c r="C13" s="143" t="s">
        <v>13</v>
      </c>
      <c r="D13" s="144">
        <f>E13*12*$D$2</f>
        <v>197.14200000000002</v>
      </c>
      <c r="E13" s="144">
        <v>0.319</v>
      </c>
      <c r="F13" s="129"/>
    </row>
    <row r="14" spans="1:6" ht="12.75">
      <c r="A14" s="299" t="s">
        <v>133</v>
      </c>
      <c r="B14" s="301" t="s">
        <v>213</v>
      </c>
      <c r="C14" s="301" t="s">
        <v>214</v>
      </c>
      <c r="D14" s="294">
        <f>E14*12*$D$2</f>
        <v>673.002</v>
      </c>
      <c r="E14" s="294">
        <v>1.089</v>
      </c>
      <c r="F14" s="129"/>
    </row>
    <row r="15" spans="1:6" ht="78.75" customHeight="1">
      <c r="A15" s="300"/>
      <c r="B15" s="302"/>
      <c r="C15" s="302"/>
      <c r="D15" s="295"/>
      <c r="E15" s="295"/>
      <c r="F15" s="129"/>
    </row>
    <row r="16" spans="1:6" ht="12.75">
      <c r="A16" s="296" t="s">
        <v>215</v>
      </c>
      <c r="B16" s="297"/>
      <c r="C16" s="298"/>
      <c r="D16" s="267">
        <f>D17</f>
        <v>180.32300022000004</v>
      </c>
      <c r="E16" s="267">
        <f>E17</f>
        <v>0.29178479000000007</v>
      </c>
      <c r="F16" s="129"/>
    </row>
    <row r="17" spans="1:6" ht="15.75" customHeight="1">
      <c r="A17" s="146" t="s">
        <v>141</v>
      </c>
      <c r="B17" s="147" t="s">
        <v>68</v>
      </c>
      <c r="C17" s="136" t="s">
        <v>115</v>
      </c>
      <c r="D17" s="144">
        <f>E17*12*$D$2</f>
        <v>180.32300022000004</v>
      </c>
      <c r="E17" s="144">
        <v>0.29178479000000007</v>
      </c>
      <c r="F17" s="129"/>
    </row>
    <row r="18" spans="1:6" ht="12.75">
      <c r="A18" s="148"/>
      <c r="B18" s="149" t="s">
        <v>120</v>
      </c>
      <c r="C18" s="149"/>
      <c r="D18" s="268">
        <f>D7+D10+D12+D16</f>
        <v>1988.59100022</v>
      </c>
      <c r="E18" s="267">
        <f>E7+E10+E12+E16</f>
        <v>3.21778479</v>
      </c>
      <c r="F18" s="150"/>
    </row>
    <row r="19" spans="1:6" ht="12.75">
      <c r="A19" s="156"/>
      <c r="B19" s="156"/>
      <c r="C19" s="156"/>
      <c r="D19" s="156"/>
      <c r="E19" s="156"/>
      <c r="F19" s="157"/>
    </row>
    <row r="20" spans="1:6" ht="59.25" customHeight="1">
      <c r="A20" s="158" t="s">
        <v>3</v>
      </c>
      <c r="B20" s="158" t="s">
        <v>121</v>
      </c>
      <c r="C20" s="158" t="s">
        <v>37</v>
      </c>
      <c r="D20" s="158" t="s">
        <v>38</v>
      </c>
      <c r="E20" s="158" t="s">
        <v>39</v>
      </c>
      <c r="F20" s="158" t="s">
        <v>40</v>
      </c>
    </row>
    <row r="21" spans="1:6" ht="21" customHeight="1">
      <c r="A21" s="159">
        <v>1</v>
      </c>
      <c r="B21" s="136" t="s">
        <v>41</v>
      </c>
      <c r="C21" s="159" t="s">
        <v>296</v>
      </c>
      <c r="D21" s="159">
        <v>2893</v>
      </c>
      <c r="E21" s="160">
        <f>D21/12/51.5</f>
        <v>4.681229773462784</v>
      </c>
      <c r="F21" s="161">
        <v>2</v>
      </c>
    </row>
    <row r="22" spans="1:6" ht="12.75">
      <c r="A22" s="159"/>
      <c r="B22" s="162" t="s">
        <v>43</v>
      </c>
      <c r="C22" s="163"/>
      <c r="D22" s="164">
        <f>D21</f>
        <v>2893</v>
      </c>
      <c r="E22" s="165">
        <f>E21</f>
        <v>4.681229773462784</v>
      </c>
      <c r="F22" s="166"/>
    </row>
    <row r="23" spans="1:6" ht="12.75">
      <c r="A23" s="151"/>
      <c r="B23" s="152"/>
      <c r="C23" s="167"/>
      <c r="D23" s="167"/>
      <c r="E23" s="167"/>
      <c r="F23" s="167"/>
    </row>
    <row r="24" spans="1:6" ht="25.5" customHeight="1">
      <c r="A24" s="151"/>
      <c r="B24" s="152" t="s">
        <v>125</v>
      </c>
      <c r="C24" s="168">
        <f>D18+D22</f>
        <v>4881.59100022</v>
      </c>
      <c r="D24" s="168"/>
      <c r="E24" s="168"/>
      <c r="F24" s="167"/>
    </row>
    <row r="25" spans="1:6" ht="17.25" customHeight="1">
      <c r="A25" s="151"/>
      <c r="B25" s="152" t="s">
        <v>216</v>
      </c>
      <c r="C25" s="169">
        <f>E18+E22</f>
        <v>7.899014563462783</v>
      </c>
      <c r="D25" s="167"/>
      <c r="E25" s="167"/>
      <c r="F25" s="167"/>
    </row>
    <row r="26" spans="1:6" ht="108.75" customHeight="1">
      <c r="A26" s="129"/>
      <c r="B26" s="129"/>
      <c r="C26" s="129"/>
      <c r="D26" s="129"/>
      <c r="E26" s="129"/>
      <c r="F26" s="129"/>
    </row>
    <row r="27" spans="1:6" ht="27" customHeight="1">
      <c r="A27" s="261" t="s">
        <v>217</v>
      </c>
      <c r="B27" s="261"/>
      <c r="C27" s="261"/>
      <c r="D27" s="261"/>
      <c r="E27" s="261"/>
      <c r="F27" s="261"/>
    </row>
    <row r="28" spans="1:6" ht="12.75">
      <c r="A28" s="135"/>
      <c r="B28" s="135"/>
      <c r="C28" s="135"/>
      <c r="D28" s="129"/>
      <c r="E28" s="129"/>
      <c r="F28" s="129"/>
    </row>
    <row r="29" spans="1:6" ht="51">
      <c r="A29" s="136"/>
      <c r="B29" s="137" t="s">
        <v>4</v>
      </c>
      <c r="C29" s="137" t="s">
        <v>45</v>
      </c>
      <c r="D29" s="137" t="s">
        <v>6</v>
      </c>
      <c r="E29" s="137" t="s">
        <v>93</v>
      </c>
      <c r="F29" s="129"/>
    </row>
    <row r="30" spans="1:6" ht="15" customHeight="1">
      <c r="A30" s="262" t="s">
        <v>47</v>
      </c>
      <c r="B30" s="263"/>
      <c r="C30" s="264"/>
      <c r="D30" s="173">
        <f>D31</f>
        <v>6.18</v>
      </c>
      <c r="E30" s="173">
        <f>E31</f>
        <v>0.01</v>
      </c>
      <c r="F30" s="129"/>
    </row>
    <row r="31" spans="1:6" ht="28.5" customHeight="1">
      <c r="A31" s="140" t="s">
        <v>50</v>
      </c>
      <c r="B31" s="172" t="s">
        <v>51</v>
      </c>
      <c r="C31" s="172" t="s">
        <v>90</v>
      </c>
      <c r="D31" s="136">
        <f>E31*12*51.5</f>
        <v>6.18</v>
      </c>
      <c r="E31" s="136">
        <v>0.01</v>
      </c>
      <c r="F31" s="129"/>
    </row>
    <row r="32" spans="1:6" ht="16.5" customHeight="1">
      <c r="A32" s="265" t="s">
        <v>53</v>
      </c>
      <c r="B32" s="256"/>
      <c r="C32" s="257"/>
      <c r="D32" s="173">
        <f>D33</f>
        <v>12.36</v>
      </c>
      <c r="E32" s="173">
        <f>E33</f>
        <v>0.02</v>
      </c>
      <c r="F32" s="129"/>
    </row>
    <row r="33" spans="1:6" ht="40.5" customHeight="1">
      <c r="A33" s="140" t="s">
        <v>54</v>
      </c>
      <c r="B33" s="172" t="s">
        <v>55</v>
      </c>
      <c r="C33" s="172" t="s">
        <v>127</v>
      </c>
      <c r="D33" s="136">
        <f>E33*12*51.5</f>
        <v>12.36</v>
      </c>
      <c r="E33" s="136">
        <v>0.02</v>
      </c>
      <c r="F33" s="129"/>
    </row>
    <row r="34" spans="1:6" ht="12.75">
      <c r="A34" s="136"/>
      <c r="B34" s="176" t="s">
        <v>36</v>
      </c>
      <c r="C34" s="136"/>
      <c r="D34" s="171">
        <f>D30+D32</f>
        <v>18.54</v>
      </c>
      <c r="E34" s="171">
        <f>E30+E32</f>
        <v>0.03</v>
      </c>
      <c r="F34" s="129"/>
    </row>
    <row r="35" spans="1:6" ht="12.75">
      <c r="A35" s="129"/>
      <c r="B35" s="129"/>
      <c r="C35" s="129"/>
      <c r="D35" s="129"/>
      <c r="E35" s="129"/>
      <c r="F35" s="129"/>
    </row>
    <row r="37" spans="2:3" ht="25.5">
      <c r="B37" s="152" t="s">
        <v>291</v>
      </c>
      <c r="C37" s="168">
        <v>4881.59100022</v>
      </c>
    </row>
  </sheetData>
  <mergeCells count="14">
    <mergeCell ref="A1:E1"/>
    <mergeCell ref="A4:E4"/>
    <mergeCell ref="A7:C7"/>
    <mergeCell ref="A10:C10"/>
    <mergeCell ref="A12:C12"/>
    <mergeCell ref="A14:A15"/>
    <mergeCell ref="B14:B15"/>
    <mergeCell ref="C14:C15"/>
    <mergeCell ref="A27:F27"/>
    <mergeCell ref="A30:C30"/>
    <mergeCell ref="A32:C32"/>
    <mergeCell ref="D14:D15"/>
    <mergeCell ref="E14:E15"/>
    <mergeCell ref="A16:C1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="97" zoomScaleNormal="97" workbookViewId="0" topLeftCell="A1">
      <selection activeCell="C70" sqref="C70"/>
    </sheetView>
  </sheetViews>
  <sheetFormatPr defaultColWidth="9.00390625" defaultRowHeight="12.75"/>
  <cols>
    <col min="1" max="1" width="3.75390625" style="35" customWidth="1"/>
    <col min="2" max="2" width="42.625" style="35" customWidth="1"/>
    <col min="3" max="3" width="17.125" style="35" customWidth="1"/>
    <col min="4" max="4" width="11.00390625" style="35" customWidth="1"/>
    <col min="5" max="5" width="12.875" style="35" customWidth="1"/>
    <col min="6" max="6" width="9.125" style="35" customWidth="1"/>
    <col min="7" max="7" width="9.25390625" style="35" bestFit="1" customWidth="1"/>
    <col min="8" max="16384" width="9.125" style="35" customWidth="1"/>
  </cols>
  <sheetData>
    <row r="1" spans="1:6" ht="15">
      <c r="A1" s="287" t="s">
        <v>91</v>
      </c>
      <c r="B1" s="287"/>
      <c r="C1" s="287"/>
      <c r="D1" s="287"/>
      <c r="E1" s="287"/>
      <c r="F1" s="41"/>
    </row>
    <row r="2" spans="1:6" ht="39" customHeight="1">
      <c r="A2" s="41"/>
      <c r="B2" s="36" t="s">
        <v>92</v>
      </c>
      <c r="C2" s="37"/>
      <c r="D2" s="38">
        <v>365.6</v>
      </c>
      <c r="E2" s="39" t="s">
        <v>82</v>
      </c>
      <c r="F2" s="41"/>
    </row>
    <row r="3" spans="1:6" ht="15">
      <c r="A3" s="41"/>
      <c r="B3" s="40"/>
      <c r="C3" s="41"/>
      <c r="D3" s="41"/>
      <c r="E3" s="41"/>
      <c r="F3" s="41"/>
    </row>
    <row r="4" spans="1:6" ht="43.5" customHeight="1">
      <c r="A4" s="287" t="s">
        <v>62</v>
      </c>
      <c r="B4" s="287"/>
      <c r="C4" s="287"/>
      <c r="D4" s="287"/>
      <c r="E4" s="287"/>
      <c r="F4" s="41"/>
    </row>
    <row r="5" spans="1:6" ht="18" customHeight="1">
      <c r="A5" s="36"/>
      <c r="B5" s="36"/>
      <c r="C5" s="36"/>
      <c r="D5" s="36"/>
      <c r="E5" s="36"/>
      <c r="F5" s="41"/>
    </row>
    <row r="6" spans="1:6" ht="79.5" customHeight="1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7" ht="33" customHeight="1">
      <c r="A7" s="289" t="s">
        <v>76</v>
      </c>
      <c r="B7" s="290"/>
      <c r="C7" s="290"/>
      <c r="D7" s="46">
        <f>SUM(D8:D14)</f>
        <v>9531.69700762367</v>
      </c>
      <c r="E7" s="46">
        <f>SUM(E8:E14)</f>
        <v>2.1726151093234116</v>
      </c>
      <c r="F7" s="47"/>
      <c r="G7" s="48"/>
    </row>
    <row r="8" spans="1:7" ht="30">
      <c r="A8" s="52" t="s">
        <v>48</v>
      </c>
      <c r="B8" s="42" t="s">
        <v>57</v>
      </c>
      <c r="C8" s="54" t="s">
        <v>10</v>
      </c>
      <c r="D8" s="55">
        <f aca="true" t="shared" si="0" ref="D8:D14">E8*$D$2*12</f>
        <v>1101.5680799803959</v>
      </c>
      <c r="E8" s="55">
        <v>0.2510868161880917</v>
      </c>
      <c r="F8" s="41"/>
      <c r="G8" s="51"/>
    </row>
    <row r="9" spans="1:7" ht="15.75" customHeight="1">
      <c r="A9" s="52" t="s">
        <v>75</v>
      </c>
      <c r="B9" s="42" t="s">
        <v>81</v>
      </c>
      <c r="C9" s="54" t="s">
        <v>10</v>
      </c>
      <c r="D9" s="55">
        <f t="shared" si="0"/>
        <v>124.30467052925857</v>
      </c>
      <c r="E9" s="55">
        <v>0.028333486170965205</v>
      </c>
      <c r="F9" s="41"/>
      <c r="G9" s="51"/>
    </row>
    <row r="10" spans="1:7" ht="30">
      <c r="A10" s="52" t="s">
        <v>74</v>
      </c>
      <c r="B10" s="42" t="s">
        <v>66</v>
      </c>
      <c r="C10" s="56" t="s">
        <v>15</v>
      </c>
      <c r="D10" s="55">
        <f t="shared" si="0"/>
        <v>1282.595002214937</v>
      </c>
      <c r="E10" s="55">
        <v>0.2923493349322887</v>
      </c>
      <c r="F10" s="41"/>
      <c r="G10" s="51"/>
    </row>
    <row r="11" spans="1:7" ht="60">
      <c r="A11" s="52" t="s">
        <v>56</v>
      </c>
      <c r="B11" s="54" t="s">
        <v>79</v>
      </c>
      <c r="C11" s="54" t="s">
        <v>16</v>
      </c>
      <c r="D11" s="55">
        <f t="shared" si="0"/>
        <v>6792.247478479692</v>
      </c>
      <c r="E11" s="57">
        <v>1.548196452972213</v>
      </c>
      <c r="F11" s="41"/>
      <c r="G11" s="51"/>
    </row>
    <row r="12" spans="1:7" ht="15.75" customHeight="1">
      <c r="A12" s="52" t="s">
        <v>59</v>
      </c>
      <c r="B12" s="56" t="s">
        <v>94</v>
      </c>
      <c r="C12" s="56" t="s">
        <v>15</v>
      </c>
      <c r="D12" s="55">
        <f t="shared" si="0"/>
        <v>101.29636611569435</v>
      </c>
      <c r="E12" s="58">
        <v>0.0230890695923811</v>
      </c>
      <c r="F12" s="41"/>
      <c r="G12" s="51"/>
    </row>
    <row r="13" spans="1:7" ht="15.75" customHeight="1">
      <c r="A13" s="52" t="s">
        <v>95</v>
      </c>
      <c r="B13" s="56" t="s">
        <v>96</v>
      </c>
      <c r="C13" s="56" t="s">
        <v>12</v>
      </c>
      <c r="D13" s="55">
        <f t="shared" si="0"/>
        <v>72.117110746532</v>
      </c>
      <c r="E13" s="55">
        <v>0.0164380722890527</v>
      </c>
      <c r="F13" s="41"/>
      <c r="G13" s="51"/>
    </row>
    <row r="14" spans="1:7" ht="15.75" customHeight="1">
      <c r="A14" s="52" t="s">
        <v>97</v>
      </c>
      <c r="B14" s="56" t="s">
        <v>98</v>
      </c>
      <c r="C14" s="56" t="s">
        <v>13</v>
      </c>
      <c r="D14" s="55">
        <f t="shared" si="0"/>
        <v>57.56829955716138</v>
      </c>
      <c r="E14" s="55">
        <v>0.013121877178419351</v>
      </c>
      <c r="F14" s="60"/>
      <c r="G14" s="61"/>
    </row>
    <row r="15" spans="1:7" ht="15">
      <c r="A15" s="291" t="s">
        <v>99</v>
      </c>
      <c r="B15" s="259"/>
      <c r="C15" s="260"/>
      <c r="D15" s="46">
        <f>SUM(D16:D17)</f>
        <v>5180.99288809628</v>
      </c>
      <c r="E15" s="46">
        <f>SUM(E16:E17)</f>
        <v>1.1809338275201222</v>
      </c>
      <c r="F15" s="62"/>
      <c r="G15" s="63"/>
    </row>
    <row r="16" spans="1:7" ht="15.75" customHeight="1">
      <c r="A16" s="52" t="s">
        <v>100</v>
      </c>
      <c r="B16" s="42" t="s">
        <v>26</v>
      </c>
      <c r="C16" s="54" t="s">
        <v>101</v>
      </c>
      <c r="D16" s="55">
        <f>E16*$D$2*12</f>
        <v>4740.158177581226</v>
      </c>
      <c r="E16" s="64">
        <v>1.080451809259032</v>
      </c>
      <c r="F16" s="60"/>
      <c r="G16" s="63"/>
    </row>
    <row r="17" spans="1:7" ht="30">
      <c r="A17" s="52" t="s">
        <v>102</v>
      </c>
      <c r="B17" s="56" t="s">
        <v>28</v>
      </c>
      <c r="C17" s="56" t="s">
        <v>103</v>
      </c>
      <c r="D17" s="55">
        <f>E17*$D$2*12</f>
        <v>440.83471051505444</v>
      </c>
      <c r="E17" s="55">
        <v>0.10048201826109009</v>
      </c>
      <c r="F17" s="60"/>
      <c r="G17" s="63"/>
    </row>
    <row r="18" spans="1:7" ht="15">
      <c r="A18" s="291" t="s">
        <v>20</v>
      </c>
      <c r="B18" s="292"/>
      <c r="C18" s="293"/>
      <c r="D18" s="65">
        <f>SUM(D19:D22)</f>
        <v>4937.749821952888</v>
      </c>
      <c r="E18" s="65">
        <f>SUM(E19:E22)</f>
        <v>1.1254900214152277</v>
      </c>
      <c r="F18" s="60"/>
      <c r="G18" s="63"/>
    </row>
    <row r="19" spans="1:7" ht="30">
      <c r="A19" s="52" t="s">
        <v>104</v>
      </c>
      <c r="B19" s="56" t="s">
        <v>21</v>
      </c>
      <c r="C19" s="56" t="s">
        <v>13</v>
      </c>
      <c r="D19" s="55">
        <f>E19*12*$D$2</f>
        <v>188.7609198049969</v>
      </c>
      <c r="E19" s="55">
        <v>0.04302537377028558</v>
      </c>
      <c r="F19" s="47"/>
      <c r="G19" s="66"/>
    </row>
    <row r="20" spans="1:7" ht="30">
      <c r="A20" s="52" t="s">
        <v>105</v>
      </c>
      <c r="B20" s="56" t="s">
        <v>22</v>
      </c>
      <c r="C20" s="56" t="s">
        <v>13</v>
      </c>
      <c r="D20" s="55">
        <f>E20*12*$D$2</f>
        <v>825.1550946657561</v>
      </c>
      <c r="E20" s="55">
        <v>0.1880823975806337</v>
      </c>
      <c r="F20" s="67"/>
      <c r="G20" s="63"/>
    </row>
    <row r="21" spans="1:6" ht="30">
      <c r="A21" s="52" t="s">
        <v>106</v>
      </c>
      <c r="B21" s="56" t="s">
        <v>23</v>
      </c>
      <c r="C21" s="56" t="s">
        <v>13</v>
      </c>
      <c r="D21" s="55">
        <f>E21*12*$D$2</f>
        <v>332.582007088818</v>
      </c>
      <c r="E21" s="55">
        <v>0.07580735026641548</v>
      </c>
      <c r="F21" s="41"/>
    </row>
    <row r="22" spans="1:6" ht="96" customHeight="1">
      <c r="A22" s="52" t="s">
        <v>107</v>
      </c>
      <c r="B22" s="56" t="s">
        <v>108</v>
      </c>
      <c r="C22" s="56" t="s">
        <v>13</v>
      </c>
      <c r="D22" s="55">
        <f>E22*12*$D$2</f>
        <v>3591.2518003933164</v>
      </c>
      <c r="E22" s="55">
        <v>0.818574899797893</v>
      </c>
      <c r="F22" s="41"/>
    </row>
    <row r="23" spans="1:6" ht="15">
      <c r="A23" s="289" t="s">
        <v>109</v>
      </c>
      <c r="B23" s="290"/>
      <c r="C23" s="290"/>
      <c r="D23" s="68">
        <f>SUM(D24:D25)</f>
        <v>7629.174209680322</v>
      </c>
      <c r="E23" s="68">
        <f>SUM(E24:E25)</f>
        <v>1.7389620281</v>
      </c>
      <c r="F23" s="41"/>
    </row>
    <row r="24" spans="1:6" ht="80.25" customHeight="1">
      <c r="A24" s="69" t="s">
        <v>110</v>
      </c>
      <c r="B24" s="56" t="s">
        <v>88</v>
      </c>
      <c r="C24" s="56" t="s">
        <v>13</v>
      </c>
      <c r="D24" s="55">
        <f>E24*12*$D$2</f>
        <v>860.5511002492802</v>
      </c>
      <c r="E24" s="55">
        <v>0.19615041490000001</v>
      </c>
      <c r="F24" s="41"/>
    </row>
    <row r="25" spans="1:6" ht="110.25" customHeight="1">
      <c r="A25" s="52" t="s">
        <v>111</v>
      </c>
      <c r="B25" s="56" t="s">
        <v>71</v>
      </c>
      <c r="C25" s="56" t="s">
        <v>112</v>
      </c>
      <c r="D25" s="55">
        <f>E25*12*$D$2</f>
        <v>6768.6231094310415</v>
      </c>
      <c r="E25" s="64">
        <v>1.5428116132</v>
      </c>
      <c r="F25" s="41"/>
    </row>
    <row r="26" spans="1:6" ht="15">
      <c r="A26" s="289" t="s">
        <v>113</v>
      </c>
      <c r="B26" s="289"/>
      <c r="C26" s="289"/>
      <c r="D26" s="70">
        <f>SUM(D27)</f>
        <v>884.2679999999986</v>
      </c>
      <c r="E26" s="70">
        <f>SUM(E27)</f>
        <v>0.2015563457330412</v>
      </c>
      <c r="F26" s="41"/>
    </row>
    <row r="27" spans="1:6" ht="15">
      <c r="A27" s="52" t="s">
        <v>114</v>
      </c>
      <c r="B27" s="56" t="s">
        <v>68</v>
      </c>
      <c r="C27" s="56" t="s">
        <v>115</v>
      </c>
      <c r="D27" s="55">
        <f>E27*12*$D$2</f>
        <v>884.2679999999986</v>
      </c>
      <c r="E27" s="55">
        <v>0.2015563457330412</v>
      </c>
      <c r="F27" s="41"/>
    </row>
    <row r="28" spans="1:6" ht="15">
      <c r="A28" s="289" t="s">
        <v>116</v>
      </c>
      <c r="B28" s="289"/>
      <c r="C28" s="289"/>
      <c r="D28" s="70">
        <f>SUM(D29:D30)</f>
        <v>317.19682704610665</v>
      </c>
      <c r="E28" s="70">
        <f>E29+E30</f>
        <v>0.07230051674099805</v>
      </c>
      <c r="F28" s="41"/>
    </row>
    <row r="29" spans="1:6" ht="30">
      <c r="A29" s="52" t="s">
        <v>117</v>
      </c>
      <c r="B29" s="56" t="s">
        <v>32</v>
      </c>
      <c r="C29" s="56" t="s">
        <v>103</v>
      </c>
      <c r="D29" s="55">
        <f>E29*12*$D$2</f>
        <v>158.59841352305332</v>
      </c>
      <c r="E29" s="64">
        <v>0.036150258370499025</v>
      </c>
      <c r="F29" s="41"/>
    </row>
    <row r="30" spans="1:6" ht="62.25" customHeight="1">
      <c r="A30" s="52" t="s">
        <v>118</v>
      </c>
      <c r="B30" s="56" t="s">
        <v>119</v>
      </c>
      <c r="C30" s="56" t="s">
        <v>34</v>
      </c>
      <c r="D30" s="55">
        <f>E30*12*$D$2</f>
        <v>158.59841352305332</v>
      </c>
      <c r="E30" s="64">
        <v>0.036150258370499025</v>
      </c>
      <c r="F30" s="41"/>
    </row>
    <row r="31" spans="1:6" ht="15">
      <c r="A31" s="43"/>
      <c r="B31" s="71" t="s">
        <v>120</v>
      </c>
      <c r="C31" s="71"/>
      <c r="D31" s="72">
        <f>D7+D15+D18+D23+D26+D28</f>
        <v>28481.078754399266</v>
      </c>
      <c r="E31" s="46">
        <f>E7+E15+E18+E23+E26+E28</f>
        <v>6.491857848832801</v>
      </c>
      <c r="F31" s="39"/>
    </row>
    <row r="32" spans="1:6" ht="15">
      <c r="A32" s="73"/>
      <c r="B32" s="74"/>
      <c r="C32" s="75"/>
      <c r="D32" s="266"/>
      <c r="E32" s="270"/>
      <c r="F32" s="41"/>
    </row>
    <row r="33" spans="1:6" ht="12" customHeight="1">
      <c r="A33" s="78"/>
      <c r="B33" s="78"/>
      <c r="C33" s="78"/>
      <c r="D33" s="78"/>
      <c r="E33" s="78"/>
      <c r="F33" s="79"/>
    </row>
    <row r="34" spans="1:6" ht="105">
      <c r="A34" s="45" t="s">
        <v>3</v>
      </c>
      <c r="B34" s="45" t="s">
        <v>121</v>
      </c>
      <c r="C34" s="45" t="s">
        <v>122</v>
      </c>
      <c r="D34" s="45" t="s">
        <v>38</v>
      </c>
      <c r="E34" s="45" t="s">
        <v>123</v>
      </c>
      <c r="F34" s="45" t="s">
        <v>40</v>
      </c>
    </row>
    <row r="35" spans="1:6" ht="15">
      <c r="A35" s="45">
        <v>1</v>
      </c>
      <c r="B35" s="42" t="s">
        <v>41</v>
      </c>
      <c r="C35" s="45" t="s">
        <v>124</v>
      </c>
      <c r="D35" s="45">
        <v>9651.84</v>
      </c>
      <c r="E35" s="80">
        <f>D35/12/D2</f>
        <v>2.2</v>
      </c>
      <c r="F35" s="81">
        <v>2</v>
      </c>
    </row>
    <row r="36" spans="1:6" ht="15">
      <c r="A36" s="45"/>
      <c r="B36" s="49" t="s">
        <v>36</v>
      </c>
      <c r="C36" s="44"/>
      <c r="D36" s="72">
        <f>D35</f>
        <v>9651.84</v>
      </c>
      <c r="E36" s="82">
        <f>SUM(E35:E35)</f>
        <v>2.2</v>
      </c>
      <c r="F36" s="83"/>
    </row>
    <row r="37" spans="1:6" ht="13.5" customHeight="1">
      <c r="A37" s="73"/>
      <c r="B37" s="74"/>
      <c r="C37" s="84"/>
      <c r="D37" s="84"/>
      <c r="E37" s="84"/>
      <c r="F37" s="84"/>
    </row>
    <row r="38" spans="1:6" ht="29.25">
      <c r="A38" s="73"/>
      <c r="B38" s="74" t="s">
        <v>125</v>
      </c>
      <c r="C38" s="85">
        <f>D31+D36</f>
        <v>38132.91875439927</v>
      </c>
      <c r="D38" s="85"/>
      <c r="E38" s="85"/>
      <c r="F38" s="84"/>
    </row>
    <row r="39" spans="1:6" ht="15">
      <c r="A39" s="73"/>
      <c r="B39" s="74" t="s">
        <v>126</v>
      </c>
      <c r="C39" s="86">
        <f>E31+E36</f>
        <v>8.6918578488328</v>
      </c>
      <c r="D39" s="84"/>
      <c r="E39" s="84"/>
      <c r="F39" s="84"/>
    </row>
    <row r="40" spans="1:6" ht="15">
      <c r="A40" s="73"/>
      <c r="B40" s="74"/>
      <c r="C40" s="86"/>
      <c r="D40" s="84"/>
      <c r="E40" s="84"/>
      <c r="F40" s="84"/>
    </row>
    <row r="41" spans="1:6" ht="15">
      <c r="A41" s="41"/>
      <c r="B41" s="41"/>
      <c r="C41" s="41"/>
      <c r="D41" s="41"/>
      <c r="E41" s="41"/>
      <c r="F41" s="41"/>
    </row>
    <row r="42" spans="1:6" ht="33" customHeight="1">
      <c r="A42" s="287" t="s">
        <v>44</v>
      </c>
      <c r="B42" s="287"/>
      <c r="C42" s="287"/>
      <c r="D42" s="287"/>
      <c r="E42" s="287"/>
      <c r="F42" s="287"/>
    </row>
    <row r="43" spans="1:6" ht="15">
      <c r="A43" s="36"/>
      <c r="B43" s="36"/>
      <c r="C43" s="36"/>
      <c r="D43" s="41"/>
      <c r="E43" s="41"/>
      <c r="F43" s="41"/>
    </row>
    <row r="44" spans="1:6" ht="79.5" customHeight="1">
      <c r="A44" s="42"/>
      <c r="B44" s="43" t="s">
        <v>4</v>
      </c>
      <c r="C44" s="43" t="s">
        <v>5</v>
      </c>
      <c r="D44" s="43" t="s">
        <v>6</v>
      </c>
      <c r="E44" s="43" t="s">
        <v>93</v>
      </c>
      <c r="F44" s="41"/>
    </row>
    <row r="45" spans="1:5" ht="32.25" customHeight="1">
      <c r="A45" s="288" t="s">
        <v>47</v>
      </c>
      <c r="B45" s="288"/>
      <c r="C45" s="288"/>
      <c r="D45" s="55">
        <f>D46</f>
        <v>43.872</v>
      </c>
      <c r="E45" s="87">
        <v>0.01</v>
      </c>
    </row>
    <row r="46" spans="1:5" ht="30">
      <c r="A46" s="52" t="s">
        <v>48</v>
      </c>
      <c r="B46" s="88" t="s">
        <v>51</v>
      </c>
      <c r="C46" s="88" t="s">
        <v>52</v>
      </c>
      <c r="D46" s="55">
        <f>E46*D2*12</f>
        <v>43.872</v>
      </c>
      <c r="E46" s="87">
        <v>0.01</v>
      </c>
    </row>
    <row r="47" spans="1:5" ht="32.25" customHeight="1">
      <c r="A47" s="288" t="s">
        <v>53</v>
      </c>
      <c r="B47" s="288"/>
      <c r="C47" s="288"/>
      <c r="D47" s="46">
        <f>D48+D49</f>
        <v>1052.9279999999999</v>
      </c>
      <c r="E47" s="46">
        <f>E48+E49</f>
        <v>0.24</v>
      </c>
    </row>
    <row r="48" spans="1:5" ht="45">
      <c r="A48" s="52" t="s">
        <v>50</v>
      </c>
      <c r="B48" s="88" t="s">
        <v>55</v>
      </c>
      <c r="C48" s="88" t="s">
        <v>127</v>
      </c>
      <c r="D48" s="55">
        <f>E48*D2*12</f>
        <v>87.744</v>
      </c>
      <c r="E48" s="87">
        <v>0.02</v>
      </c>
    </row>
    <row r="49" spans="1:5" ht="30">
      <c r="A49" s="52" t="s">
        <v>54</v>
      </c>
      <c r="B49" s="89" t="s">
        <v>57</v>
      </c>
      <c r="C49" s="89" t="s">
        <v>58</v>
      </c>
      <c r="D49" s="55">
        <f>E49*$D$2*12</f>
        <v>965.184</v>
      </c>
      <c r="E49" s="87">
        <v>0.22</v>
      </c>
    </row>
    <row r="50" spans="1:6" ht="15">
      <c r="A50" s="43"/>
      <c r="B50" s="71" t="s">
        <v>120</v>
      </c>
      <c r="C50" s="71"/>
      <c r="D50" s="72">
        <f>D45+D47</f>
        <v>1096.8</v>
      </c>
      <c r="E50" s="46">
        <f>E45+E47</f>
        <v>0.25</v>
      </c>
      <c r="F50" s="39"/>
    </row>
    <row r="51" spans="1:6" ht="15">
      <c r="A51" s="41"/>
      <c r="B51" s="41"/>
      <c r="C51" s="41"/>
      <c r="D51" s="41"/>
      <c r="E51" s="41"/>
      <c r="F51" s="41"/>
    </row>
    <row r="52" spans="1:6" ht="15">
      <c r="A52" s="78"/>
      <c r="B52" s="78"/>
      <c r="C52" s="78"/>
      <c r="D52" s="78"/>
      <c r="E52" s="78"/>
      <c r="F52" s="79"/>
    </row>
    <row r="53" spans="1:6" ht="105">
      <c r="A53" s="45" t="s">
        <v>3</v>
      </c>
      <c r="B53" s="45" t="s">
        <v>121</v>
      </c>
      <c r="C53" s="45" t="s">
        <v>122</v>
      </c>
      <c r="D53" s="45" t="s">
        <v>38</v>
      </c>
      <c r="E53" s="45" t="s">
        <v>123</v>
      </c>
      <c r="F53" s="45" t="s">
        <v>40</v>
      </c>
    </row>
    <row r="54" spans="1:6" ht="15">
      <c r="A54" s="45">
        <v>1</v>
      </c>
      <c r="B54" s="42" t="s">
        <v>41</v>
      </c>
      <c r="C54" s="45" t="s">
        <v>128</v>
      </c>
      <c r="D54" s="90">
        <v>877.44</v>
      </c>
      <c r="E54" s="91">
        <f>D54/12/$D$2</f>
        <v>0.2</v>
      </c>
      <c r="F54" s="81">
        <v>2</v>
      </c>
    </row>
    <row r="55" spans="1:6" ht="15">
      <c r="A55" s="92"/>
      <c r="B55" s="92" t="s">
        <v>36</v>
      </c>
      <c r="C55" s="92"/>
      <c r="D55" s="90">
        <v>877.44</v>
      </c>
      <c r="E55" s="91">
        <f>D55/12/$D$2</f>
        <v>0.2</v>
      </c>
      <c r="F55" s="92"/>
    </row>
    <row r="57" spans="2:3" ht="29.25">
      <c r="B57" s="74" t="s">
        <v>292</v>
      </c>
      <c r="C57" s="85">
        <v>38132.91875439927</v>
      </c>
    </row>
  </sheetData>
  <mergeCells count="11">
    <mergeCell ref="A1:E1"/>
    <mergeCell ref="A4:E4"/>
    <mergeCell ref="A7:C7"/>
    <mergeCell ref="A15:C15"/>
    <mergeCell ref="A18:C18"/>
    <mergeCell ref="A23:C23"/>
    <mergeCell ref="A45:C45"/>
    <mergeCell ref="A47:C47"/>
    <mergeCell ref="A26:C26"/>
    <mergeCell ref="A28:C28"/>
    <mergeCell ref="A42:F4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18">
      <selection activeCell="C70" sqref="C70"/>
    </sheetView>
  </sheetViews>
  <sheetFormatPr defaultColWidth="9.00390625" defaultRowHeight="12.75"/>
  <cols>
    <col min="1" max="1" width="3.75390625" style="35" customWidth="1"/>
    <col min="2" max="2" width="43.375" style="35" customWidth="1"/>
    <col min="3" max="3" width="17.75390625" style="35" customWidth="1"/>
    <col min="4" max="4" width="11.00390625" style="35" customWidth="1"/>
    <col min="5" max="5" width="12.875" style="35" customWidth="1"/>
    <col min="6" max="16384" width="9.125" style="35" customWidth="1"/>
  </cols>
  <sheetData>
    <row r="1" spans="1:6" ht="15">
      <c r="A1" s="287" t="s">
        <v>280</v>
      </c>
      <c r="B1" s="287"/>
      <c r="C1" s="287"/>
      <c r="D1" s="287"/>
      <c r="E1" s="287"/>
      <c r="F1" s="41"/>
    </row>
    <row r="2" spans="1:6" ht="39" customHeight="1">
      <c r="A2" s="41"/>
      <c r="B2" s="36" t="s">
        <v>281</v>
      </c>
      <c r="C2" s="37"/>
      <c r="D2" s="38">
        <v>118.9</v>
      </c>
      <c r="E2" s="39" t="s">
        <v>82</v>
      </c>
      <c r="F2" s="41"/>
    </row>
    <row r="3" spans="1:6" ht="15">
      <c r="A3" s="41"/>
      <c r="B3" s="40"/>
      <c r="C3" s="41"/>
      <c r="D3" s="41"/>
      <c r="E3" s="41"/>
      <c r="F3" s="41"/>
    </row>
    <row r="4" spans="1:6" ht="48" customHeight="1">
      <c r="A4" s="287" t="s">
        <v>62</v>
      </c>
      <c r="B4" s="287"/>
      <c r="C4" s="287"/>
      <c r="D4" s="287"/>
      <c r="E4" s="287"/>
      <c r="F4" s="41"/>
    </row>
    <row r="5" spans="1:6" ht="15">
      <c r="A5" s="36"/>
      <c r="B5" s="36"/>
      <c r="C5" s="36"/>
      <c r="D5" s="36"/>
      <c r="E5" s="36"/>
      <c r="F5" s="41"/>
    </row>
    <row r="6" spans="1:6" ht="79.5" customHeight="1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6" ht="15.75" customHeight="1">
      <c r="A7" s="291" t="s">
        <v>129</v>
      </c>
      <c r="B7" s="292"/>
      <c r="C7" s="293"/>
      <c r="D7" s="46">
        <f>SUM(D8:D9)</f>
        <v>1776.3404187758601</v>
      </c>
      <c r="E7" s="46">
        <f>SUM(E8:E9)</f>
        <v>1.2449820709110317</v>
      </c>
      <c r="F7" s="62"/>
    </row>
    <row r="8" spans="1:6" ht="15.75" customHeight="1">
      <c r="A8" s="52" t="s">
        <v>48</v>
      </c>
      <c r="B8" s="42" t="s">
        <v>26</v>
      </c>
      <c r="C8" s="54" t="s">
        <v>101</v>
      </c>
      <c r="D8" s="55">
        <f>E8*$D$2*12</f>
        <v>1625.1970894564129</v>
      </c>
      <c r="E8" s="64">
        <v>1.1390503850970093</v>
      </c>
      <c r="F8" s="60"/>
    </row>
    <row r="9" spans="1:6" ht="30">
      <c r="A9" s="52" t="s">
        <v>50</v>
      </c>
      <c r="B9" s="56" t="s">
        <v>28</v>
      </c>
      <c r="C9" s="56" t="s">
        <v>103</v>
      </c>
      <c r="D9" s="55">
        <f>E9*$D$2*12</f>
        <v>151.14332931944722</v>
      </c>
      <c r="E9" s="55">
        <v>0.10593168581402243</v>
      </c>
      <c r="F9" s="60"/>
    </row>
    <row r="10" spans="1:6" ht="30.75" customHeight="1">
      <c r="A10" s="291" t="s">
        <v>77</v>
      </c>
      <c r="B10" s="292"/>
      <c r="C10" s="293"/>
      <c r="D10" s="65">
        <f>SUM(D11:D13)</f>
        <v>1570.144134845496</v>
      </c>
      <c r="E10" s="65">
        <f>SUM(E11:E13)</f>
        <v>1.100465471576602</v>
      </c>
      <c r="F10" s="60"/>
    </row>
    <row r="11" spans="1:6" ht="30">
      <c r="A11" s="52" t="s">
        <v>74</v>
      </c>
      <c r="B11" s="56" t="s">
        <v>21</v>
      </c>
      <c r="C11" s="56" t="s">
        <v>13</v>
      </c>
      <c r="D11" s="55">
        <f>E11*12*$D$2</f>
        <v>47.19022995124923</v>
      </c>
      <c r="E11" s="55">
        <v>0.03307417294032045</v>
      </c>
      <c r="F11" s="47"/>
    </row>
    <row r="12" spans="1:6" ht="30">
      <c r="A12" s="52" t="s">
        <v>130</v>
      </c>
      <c r="B12" s="56" t="s">
        <v>22</v>
      </c>
      <c r="C12" s="56" t="s">
        <v>13</v>
      </c>
      <c r="D12" s="55">
        <f>E12*12*$D$2</f>
        <v>82.4806985487291</v>
      </c>
      <c r="E12" s="55">
        <v>0.05780817111629456</v>
      </c>
      <c r="F12" s="67"/>
    </row>
    <row r="13" spans="1:6" ht="96" customHeight="1">
      <c r="A13" s="52" t="s">
        <v>131</v>
      </c>
      <c r="B13" s="56" t="s">
        <v>108</v>
      </c>
      <c r="C13" s="56" t="s">
        <v>13</v>
      </c>
      <c r="D13" s="55">
        <f>E13*12*$D$2</f>
        <v>1440.4732063455176</v>
      </c>
      <c r="E13" s="55">
        <v>1.009583127519987</v>
      </c>
      <c r="F13" s="41"/>
    </row>
    <row r="14" spans="1:6" ht="24.75" customHeight="1">
      <c r="A14" s="289" t="s">
        <v>132</v>
      </c>
      <c r="B14" s="290"/>
      <c r="C14" s="290"/>
      <c r="D14" s="68">
        <f>SUM(D15:D16)</f>
        <v>2464.1650591690172</v>
      </c>
      <c r="E14" s="68">
        <f>SUM(E15:E16)</f>
        <v>1.7270570922126556</v>
      </c>
      <c r="F14" s="41"/>
    </row>
    <row r="15" spans="1:6" ht="80.25" customHeight="1">
      <c r="A15" s="69" t="s">
        <v>133</v>
      </c>
      <c r="B15" s="56" t="s">
        <v>88</v>
      </c>
      <c r="C15" s="56" t="s">
        <v>13</v>
      </c>
      <c r="D15" s="55">
        <f>E15*12*$D$2</f>
        <v>261.1293144110836</v>
      </c>
      <c r="E15" s="55">
        <v>0.18301746174031652</v>
      </c>
      <c r="F15" s="41"/>
    </row>
    <row r="16" spans="1:6" ht="110.25" customHeight="1">
      <c r="A16" s="52" t="s">
        <v>97</v>
      </c>
      <c r="B16" s="56" t="s">
        <v>71</v>
      </c>
      <c r="C16" s="56" t="s">
        <v>112</v>
      </c>
      <c r="D16" s="55">
        <f>E16*12*$D$2</f>
        <v>2203.0357447579336</v>
      </c>
      <c r="E16" s="64">
        <v>1.5440396304723392</v>
      </c>
      <c r="F16" s="41"/>
    </row>
    <row r="17" spans="1:6" ht="15">
      <c r="A17" s="289" t="s">
        <v>134</v>
      </c>
      <c r="B17" s="289"/>
      <c r="C17" s="289"/>
      <c r="D17" s="70">
        <f>SUM(D18)</f>
        <v>241.16400000000021</v>
      </c>
      <c r="E17" s="70">
        <f>SUM(E18)</f>
        <v>0.1690243902439026</v>
      </c>
      <c r="F17" s="41"/>
    </row>
    <row r="18" spans="1:6" ht="15">
      <c r="A18" s="52" t="s">
        <v>135</v>
      </c>
      <c r="B18" s="56" t="s">
        <v>68</v>
      </c>
      <c r="C18" s="56" t="s">
        <v>115</v>
      </c>
      <c r="D18" s="55">
        <f>E18*12*$D$2</f>
        <v>241.16400000000021</v>
      </c>
      <c r="E18" s="64">
        <v>0.1690243902439026</v>
      </c>
      <c r="F18" s="41"/>
    </row>
    <row r="19" spans="1:6" ht="15">
      <c r="A19" s="289" t="s">
        <v>116</v>
      </c>
      <c r="B19" s="289"/>
      <c r="C19" s="289"/>
      <c r="D19" s="70">
        <f>SUM(D20:D21)</f>
        <v>72.95935131343542</v>
      </c>
      <c r="E19" s="70">
        <f>SUM(E20:E21)</f>
        <v>0.05113495326144899</v>
      </c>
      <c r="F19" s="41"/>
    </row>
    <row r="20" spans="1:6" ht="30">
      <c r="A20" s="52" t="s">
        <v>136</v>
      </c>
      <c r="B20" s="56" t="s">
        <v>32</v>
      </c>
      <c r="C20" s="56" t="s">
        <v>103</v>
      </c>
      <c r="D20" s="55">
        <f>E20*12*$D$2</f>
        <v>51.07154591940486</v>
      </c>
      <c r="E20" s="64">
        <v>0.03579446728301434</v>
      </c>
      <c r="F20" s="41"/>
    </row>
    <row r="21" spans="1:6" ht="46.5" customHeight="1">
      <c r="A21" s="52" t="s">
        <v>104</v>
      </c>
      <c r="B21" s="56" t="s">
        <v>86</v>
      </c>
      <c r="C21" s="56" t="s">
        <v>34</v>
      </c>
      <c r="D21" s="55">
        <f>E21*12*$D$2</f>
        <v>21.88780539403056</v>
      </c>
      <c r="E21" s="55">
        <v>0.015340485978434652</v>
      </c>
      <c r="F21" s="41"/>
    </row>
    <row r="22" spans="1:6" ht="15">
      <c r="A22" s="43"/>
      <c r="B22" s="71" t="s">
        <v>120</v>
      </c>
      <c r="C22" s="71"/>
      <c r="D22" s="72">
        <f>D7+D10+D14+D17+D19</f>
        <v>6124.7729641038095</v>
      </c>
      <c r="E22" s="46">
        <f>E7+E10+E14+E17+E19</f>
        <v>4.29266397820564</v>
      </c>
      <c r="F22" s="39"/>
    </row>
    <row r="23" spans="1:6" ht="15">
      <c r="A23" s="73"/>
      <c r="B23" s="74"/>
      <c r="C23" s="75"/>
      <c r="D23" s="76"/>
      <c r="E23" s="77"/>
      <c r="F23" s="41"/>
    </row>
    <row r="24" spans="1:6" ht="105">
      <c r="A24" s="45" t="s">
        <v>3</v>
      </c>
      <c r="B24" s="45" t="s">
        <v>121</v>
      </c>
      <c r="C24" s="45" t="s">
        <v>122</v>
      </c>
      <c r="D24" s="45" t="s">
        <v>38</v>
      </c>
      <c r="E24" s="45" t="s">
        <v>123</v>
      </c>
      <c r="F24" s="45" t="s">
        <v>40</v>
      </c>
    </row>
    <row r="25" spans="1:6" ht="15">
      <c r="A25" s="45">
        <v>1</v>
      </c>
      <c r="B25" s="42" t="s">
        <v>41</v>
      </c>
      <c r="C25" s="45" t="s">
        <v>282</v>
      </c>
      <c r="D25" s="45">
        <v>3139.4</v>
      </c>
      <c r="E25" s="80">
        <f>D25/12/D2</f>
        <v>2.200308382394169</v>
      </c>
      <c r="F25" s="81">
        <v>2</v>
      </c>
    </row>
    <row r="26" spans="1:6" ht="15">
      <c r="A26" s="45"/>
      <c r="B26" s="49" t="s">
        <v>36</v>
      </c>
      <c r="C26" s="44"/>
      <c r="D26" s="99">
        <f>D25</f>
        <v>3139.4</v>
      </c>
      <c r="E26" s="82">
        <f>SUM(E25:E25)</f>
        <v>2.200308382394169</v>
      </c>
      <c r="F26" s="83"/>
    </row>
    <row r="27" spans="1:6" ht="15">
      <c r="A27" s="73"/>
      <c r="B27" s="74"/>
      <c r="C27" s="84"/>
      <c r="D27" s="84"/>
      <c r="E27" s="84"/>
      <c r="F27" s="84"/>
    </row>
    <row r="28" spans="1:6" ht="29.25">
      <c r="A28" s="73"/>
      <c r="B28" s="74" t="s">
        <v>125</v>
      </c>
      <c r="C28" s="85">
        <f>D22+D26</f>
        <v>9264.17296410381</v>
      </c>
      <c r="D28" s="85"/>
      <c r="E28" s="85"/>
      <c r="F28" s="84"/>
    </row>
    <row r="29" spans="1:6" ht="15">
      <c r="A29" s="73"/>
      <c r="B29" s="74" t="s">
        <v>126</v>
      </c>
      <c r="C29" s="86">
        <f>E22+E26</f>
        <v>6.4929723605998095</v>
      </c>
      <c r="D29" s="84"/>
      <c r="E29" s="84"/>
      <c r="F29" s="84"/>
    </row>
    <row r="30" spans="1:6" ht="15">
      <c r="A30" s="73"/>
      <c r="B30" s="74"/>
      <c r="C30" s="86"/>
      <c r="D30" s="84"/>
      <c r="E30" s="84"/>
      <c r="F30" s="84"/>
    </row>
    <row r="31" spans="1:6" ht="28.5" customHeight="1">
      <c r="A31" s="41"/>
      <c r="B31" s="41"/>
      <c r="C31" s="41"/>
      <c r="D31" s="41"/>
      <c r="E31" s="41"/>
      <c r="F31" s="41"/>
    </row>
    <row r="32" spans="1:6" ht="33" customHeight="1">
      <c r="A32" s="287" t="s">
        <v>44</v>
      </c>
      <c r="B32" s="287"/>
      <c r="C32" s="287"/>
      <c r="D32" s="287"/>
      <c r="E32" s="287"/>
      <c r="F32" s="287"/>
    </row>
    <row r="33" spans="1:6" ht="15">
      <c r="A33" s="36"/>
      <c r="B33" s="36"/>
      <c r="C33" s="36"/>
      <c r="D33" s="41"/>
      <c r="E33" s="41"/>
      <c r="F33" s="41"/>
    </row>
    <row r="34" spans="1:6" ht="79.5" customHeight="1">
      <c r="A34" s="42"/>
      <c r="B34" s="43" t="s">
        <v>4</v>
      </c>
      <c r="C34" s="43" t="s">
        <v>5</v>
      </c>
      <c r="D34" s="43" t="s">
        <v>6</v>
      </c>
      <c r="E34" s="43" t="s">
        <v>93</v>
      </c>
      <c r="F34" s="41"/>
    </row>
    <row r="35" spans="1:5" ht="32.25" customHeight="1">
      <c r="A35" s="288" t="s">
        <v>47</v>
      </c>
      <c r="B35" s="288"/>
      <c r="C35" s="288"/>
      <c r="D35" s="46">
        <f>D36</f>
        <v>14.268</v>
      </c>
      <c r="E35" s="46">
        <f>E36</f>
        <v>0.01</v>
      </c>
    </row>
    <row r="36" spans="1:5" ht="30">
      <c r="A36" s="52" t="s">
        <v>48</v>
      </c>
      <c r="B36" s="88" t="s">
        <v>51</v>
      </c>
      <c r="C36" s="88" t="s">
        <v>90</v>
      </c>
      <c r="D36" s="55">
        <f>E36*D2*12</f>
        <v>14.268</v>
      </c>
      <c r="E36" s="87">
        <v>0.01</v>
      </c>
    </row>
    <row r="37" spans="1:5" ht="32.25" customHeight="1">
      <c r="A37" s="288" t="s">
        <v>53</v>
      </c>
      <c r="B37" s="288"/>
      <c r="C37" s="288"/>
      <c r="D37" s="55">
        <f>E38*D2*12</f>
        <v>85.608</v>
      </c>
      <c r="E37" s="46">
        <f>E38</f>
        <v>0.06</v>
      </c>
    </row>
    <row r="38" spans="1:5" ht="15">
      <c r="A38" s="52" t="s">
        <v>50</v>
      </c>
      <c r="B38" s="88" t="s">
        <v>283</v>
      </c>
      <c r="C38" s="88" t="s">
        <v>90</v>
      </c>
      <c r="D38" s="55">
        <v>85.61</v>
      </c>
      <c r="E38" s="87">
        <v>0.06</v>
      </c>
    </row>
    <row r="39" spans="1:6" ht="15">
      <c r="A39" s="43"/>
      <c r="B39" s="71" t="s">
        <v>120</v>
      </c>
      <c r="C39" s="71"/>
      <c r="D39" s="72">
        <f>D35+D37</f>
        <v>99.876</v>
      </c>
      <c r="E39" s="46">
        <f>E35+E37</f>
        <v>0.06999999999999999</v>
      </c>
      <c r="F39" s="39"/>
    </row>
    <row r="40" spans="1:6" ht="30" customHeight="1">
      <c r="A40" s="41"/>
      <c r="B40" s="41"/>
      <c r="C40" s="41"/>
      <c r="D40" s="41"/>
      <c r="E40" s="41"/>
      <c r="F40" s="41"/>
    </row>
    <row r="41" spans="1:6" ht="15">
      <c r="A41" s="78"/>
      <c r="B41" s="78"/>
      <c r="C41" s="78"/>
      <c r="D41" s="78"/>
      <c r="E41" s="78"/>
      <c r="F41" s="79"/>
    </row>
    <row r="42" spans="1:6" ht="105">
      <c r="A42" s="45" t="s">
        <v>3</v>
      </c>
      <c r="B42" s="45" t="s">
        <v>121</v>
      </c>
      <c r="C42" s="45" t="s">
        <v>122</v>
      </c>
      <c r="D42" s="45" t="s">
        <v>38</v>
      </c>
      <c r="E42" s="45" t="s">
        <v>123</v>
      </c>
      <c r="F42" s="45" t="s">
        <v>40</v>
      </c>
    </row>
    <row r="43" spans="1:6" ht="15">
      <c r="A43" s="45">
        <v>1</v>
      </c>
      <c r="B43" s="42" t="s">
        <v>41</v>
      </c>
      <c r="C43" s="45" t="s">
        <v>137</v>
      </c>
      <c r="D43" s="90">
        <v>500.7</v>
      </c>
      <c r="E43" s="91">
        <f>D43/12/$D$2</f>
        <v>0.3509251471825063</v>
      </c>
      <c r="F43" s="81">
        <v>2</v>
      </c>
    </row>
    <row r="44" spans="1:6" ht="15">
      <c r="A44" s="92"/>
      <c r="B44" s="92" t="s">
        <v>36</v>
      </c>
      <c r="C44" s="92"/>
      <c r="D44" s="100">
        <f>D43</f>
        <v>500.7</v>
      </c>
      <c r="E44" s="100">
        <f>E43</f>
        <v>0.3509251471825063</v>
      </c>
      <c r="F44" s="92"/>
    </row>
    <row r="46" ht="149.25" customHeight="1"/>
    <row r="47" spans="1:6" ht="15">
      <c r="A47" s="41"/>
      <c r="B47" s="36" t="s">
        <v>284</v>
      </c>
      <c r="C47" s="37"/>
      <c r="D47" s="38">
        <v>212.5</v>
      </c>
      <c r="E47" s="39" t="s">
        <v>82</v>
      </c>
      <c r="F47" s="41"/>
    </row>
    <row r="48" spans="1:6" ht="8.25" customHeight="1">
      <c r="A48" s="41"/>
      <c r="B48" s="40"/>
      <c r="C48" s="41"/>
      <c r="D48" s="41"/>
      <c r="E48" s="41"/>
      <c r="F48" s="41"/>
    </row>
    <row r="49" spans="1:6" s="51" customFormat="1" ht="34.5" customHeight="1">
      <c r="A49" s="287" t="s">
        <v>62</v>
      </c>
      <c r="B49" s="287"/>
      <c r="C49" s="287"/>
      <c r="D49" s="287"/>
      <c r="E49" s="287"/>
      <c r="F49" s="41"/>
    </row>
    <row r="50" spans="1:6" s="51" customFormat="1" ht="15">
      <c r="A50" s="36"/>
      <c r="B50" s="36"/>
      <c r="C50" s="36"/>
      <c r="D50" s="36"/>
      <c r="E50" s="36"/>
      <c r="F50" s="41"/>
    </row>
    <row r="51" spans="1:6" s="51" customFormat="1" ht="71.25">
      <c r="A51" s="42"/>
      <c r="B51" s="43" t="s">
        <v>4</v>
      </c>
      <c r="C51" s="43" t="s">
        <v>5</v>
      </c>
      <c r="D51" s="43" t="s">
        <v>6</v>
      </c>
      <c r="E51" s="43" t="s">
        <v>93</v>
      </c>
      <c r="F51" s="41"/>
    </row>
    <row r="52" spans="1:6" s="51" customFormat="1" ht="15" customHeight="1">
      <c r="A52" s="291" t="s">
        <v>138</v>
      </c>
      <c r="B52" s="292"/>
      <c r="C52" s="293"/>
      <c r="D52" s="46">
        <f>SUM(D53:D54)</f>
        <v>2960.5673646264477</v>
      </c>
      <c r="E52" s="46">
        <f>SUM(E53:E54)</f>
        <v>1.1610068096574304</v>
      </c>
      <c r="F52" s="62"/>
    </row>
    <row r="53" spans="1:6" s="51" customFormat="1" ht="15">
      <c r="A53" s="52" t="s">
        <v>48</v>
      </c>
      <c r="B53" s="42" t="s">
        <v>26</v>
      </c>
      <c r="C53" s="54" t="s">
        <v>101</v>
      </c>
      <c r="D53" s="55">
        <f>E53*$D$47*12</f>
        <v>2708.661815760702</v>
      </c>
      <c r="E53" s="64">
        <v>1.0622203199061577</v>
      </c>
      <c r="F53" s="60"/>
    </row>
    <row r="54" spans="1:6" s="51" customFormat="1" ht="30">
      <c r="A54" s="52" t="s">
        <v>50</v>
      </c>
      <c r="B54" s="56" t="s">
        <v>28</v>
      </c>
      <c r="C54" s="56" t="s">
        <v>103</v>
      </c>
      <c r="D54" s="55">
        <f>E54*$D$47*12</f>
        <v>251.90554886574523</v>
      </c>
      <c r="E54" s="64">
        <v>0.09878648975127263</v>
      </c>
      <c r="F54" s="60"/>
    </row>
    <row r="55" spans="1:6" s="51" customFormat="1" ht="30" customHeight="1">
      <c r="A55" s="291" t="s">
        <v>77</v>
      </c>
      <c r="B55" s="292"/>
      <c r="C55" s="293"/>
      <c r="D55" s="65">
        <f>SUM(D56:D56)</f>
        <v>39.36401465682804</v>
      </c>
      <c r="E55" s="65">
        <f>SUM(E56:E56)</f>
        <v>0.015436868492873741</v>
      </c>
      <c r="F55" s="60"/>
    </row>
    <row r="56" spans="1:6" s="51" customFormat="1" ht="60">
      <c r="A56" s="52" t="s">
        <v>74</v>
      </c>
      <c r="B56" s="56" t="s">
        <v>139</v>
      </c>
      <c r="C56" s="56" t="s">
        <v>13</v>
      </c>
      <c r="D56" s="55">
        <f>E56*12*$D$47</f>
        <v>39.36401465682804</v>
      </c>
      <c r="E56" s="64">
        <v>0.015436868492873741</v>
      </c>
      <c r="F56" s="41"/>
    </row>
    <row r="57" spans="1:6" s="51" customFormat="1" ht="22.5" customHeight="1">
      <c r="A57" s="289" t="s">
        <v>132</v>
      </c>
      <c r="B57" s="290"/>
      <c r="C57" s="290"/>
      <c r="D57" s="68">
        <f>SUM(D58:D59)</f>
        <v>819.5767495594654</v>
      </c>
      <c r="E57" s="68">
        <f>SUM(E58:E59)</f>
        <v>0.32140264688606485</v>
      </c>
      <c r="F57" s="41"/>
    </row>
    <row r="58" spans="1:6" s="51" customFormat="1" ht="60">
      <c r="A58" s="69" t="s">
        <v>130</v>
      </c>
      <c r="B58" s="56" t="s">
        <v>140</v>
      </c>
      <c r="C58" s="56" t="s">
        <v>13</v>
      </c>
      <c r="D58" s="55">
        <f>E58*12*$D$47</f>
        <v>41.3503699407798</v>
      </c>
      <c r="E58" s="55">
        <v>0.016215831349325412</v>
      </c>
      <c r="F58" s="41"/>
    </row>
    <row r="59" spans="1:6" s="51" customFormat="1" ht="75">
      <c r="A59" s="52" t="s">
        <v>59</v>
      </c>
      <c r="B59" s="56" t="s">
        <v>71</v>
      </c>
      <c r="C59" s="56" t="s">
        <v>285</v>
      </c>
      <c r="D59" s="55">
        <f>E59*12*$D$47</f>
        <v>778.2263796186855</v>
      </c>
      <c r="E59" s="64">
        <v>0.30518681553673943</v>
      </c>
      <c r="F59" s="41"/>
    </row>
    <row r="60" spans="1:6" s="51" customFormat="1" ht="15">
      <c r="A60" s="289" t="s">
        <v>134</v>
      </c>
      <c r="B60" s="289"/>
      <c r="C60" s="289"/>
      <c r="D60" s="70">
        <f>SUM(D61)</f>
        <v>482.3280000000012</v>
      </c>
      <c r="E60" s="70">
        <f>SUM(E61)</f>
        <v>0.18914823529411812</v>
      </c>
      <c r="F60" s="41"/>
    </row>
    <row r="61" spans="1:6" s="51" customFormat="1" ht="15">
      <c r="A61" s="52" t="s">
        <v>133</v>
      </c>
      <c r="B61" s="56" t="s">
        <v>68</v>
      </c>
      <c r="C61" s="56" t="s">
        <v>115</v>
      </c>
      <c r="D61" s="55">
        <f>E61*12*$D$47</f>
        <v>482.3280000000012</v>
      </c>
      <c r="E61" s="101">
        <v>0.18914823529411812</v>
      </c>
      <c r="F61" s="41"/>
    </row>
    <row r="62" spans="1:6" s="51" customFormat="1" ht="15">
      <c r="A62" s="289" t="s">
        <v>116</v>
      </c>
      <c r="B62" s="289"/>
      <c r="C62" s="289"/>
      <c r="D62" s="70">
        <f>SUM(D63:D65)</f>
        <v>490.88879082936046</v>
      </c>
      <c r="E62" s="70">
        <f>SUM(E63:E65)</f>
        <v>0.19250540816837663</v>
      </c>
      <c r="F62" s="41"/>
    </row>
    <row r="63" spans="1:6" s="51" customFormat="1" ht="15">
      <c r="A63" s="45" t="s">
        <v>141</v>
      </c>
      <c r="B63" s="50" t="s">
        <v>78</v>
      </c>
      <c r="C63" s="50" t="s">
        <v>12</v>
      </c>
      <c r="D63" s="55">
        <f>E63*12*$D$47</f>
        <v>427.76787246336045</v>
      </c>
      <c r="E63" s="101">
        <v>0.16775210684837663</v>
      </c>
      <c r="F63" s="41"/>
    </row>
    <row r="64" spans="1:6" s="51" customFormat="1" ht="30">
      <c r="A64" s="52" t="s">
        <v>135</v>
      </c>
      <c r="B64" s="56" t="s">
        <v>32</v>
      </c>
      <c r="C64" s="56" t="s">
        <v>103</v>
      </c>
      <c r="D64" s="55">
        <f>E64*12*$D$47</f>
        <v>31.560459183000006</v>
      </c>
      <c r="E64" s="64">
        <v>0.012376650660000002</v>
      </c>
      <c r="F64" s="41"/>
    </row>
    <row r="65" spans="1:6" ht="45">
      <c r="A65" s="52" t="s">
        <v>136</v>
      </c>
      <c r="B65" s="56" t="s">
        <v>86</v>
      </c>
      <c r="C65" s="56" t="s">
        <v>34</v>
      </c>
      <c r="D65" s="55">
        <f>E65*12*$D$47</f>
        <v>31.560459183000006</v>
      </c>
      <c r="E65" s="55">
        <v>0.012376650660000002</v>
      </c>
      <c r="F65" s="41"/>
    </row>
    <row r="66" spans="1:6" ht="15">
      <c r="A66" s="43"/>
      <c r="B66" s="71" t="s">
        <v>120</v>
      </c>
      <c r="C66" s="71"/>
      <c r="D66" s="72">
        <f>D52+D55+D57+D60+D62</f>
        <v>4792.724919672102</v>
      </c>
      <c r="E66" s="46">
        <f>E52+E55+E57+E60+E62</f>
        <v>1.8794999684988638</v>
      </c>
      <c r="F66" s="39"/>
    </row>
    <row r="67" spans="1:6" ht="15">
      <c r="A67" s="73"/>
      <c r="B67" s="74"/>
      <c r="C67" s="75"/>
      <c r="D67" s="76"/>
      <c r="E67" s="77"/>
      <c r="F67" s="41"/>
    </row>
    <row r="68" spans="1:6" ht="105">
      <c r="A68" s="45" t="s">
        <v>3</v>
      </c>
      <c r="B68" s="45" t="s">
        <v>121</v>
      </c>
      <c r="C68" s="45" t="s">
        <v>122</v>
      </c>
      <c r="D68" s="45" t="s">
        <v>38</v>
      </c>
      <c r="E68" s="45" t="s">
        <v>123</v>
      </c>
      <c r="F68" s="45" t="s">
        <v>40</v>
      </c>
    </row>
    <row r="69" spans="1:6" ht="15">
      <c r="A69" s="45">
        <v>1</v>
      </c>
      <c r="B69" s="42" t="s">
        <v>41</v>
      </c>
      <c r="C69" s="45" t="s">
        <v>288</v>
      </c>
      <c r="D69" s="45">
        <v>5610</v>
      </c>
      <c r="E69" s="80">
        <f>D69/12/D47</f>
        <v>2.2</v>
      </c>
      <c r="F69" s="81">
        <v>2</v>
      </c>
    </row>
    <row r="70" spans="1:6" ht="15">
      <c r="A70" s="45"/>
      <c r="B70" s="49" t="s">
        <v>36</v>
      </c>
      <c r="C70" s="44"/>
      <c r="D70" s="99">
        <f>D69</f>
        <v>5610</v>
      </c>
      <c r="E70" s="82">
        <f>SUM(E69:E69)</f>
        <v>2.2</v>
      </c>
      <c r="F70" s="83"/>
    </row>
    <row r="71" spans="1:6" ht="15">
      <c r="A71" s="73"/>
      <c r="B71" s="74"/>
      <c r="C71" s="84"/>
      <c r="D71" s="84"/>
      <c r="E71" s="84"/>
      <c r="F71" s="84"/>
    </row>
    <row r="72" spans="1:6" ht="29.25">
      <c r="A72" s="73"/>
      <c r="B72" s="74" t="s">
        <v>125</v>
      </c>
      <c r="C72" s="85">
        <f>D66+D70</f>
        <v>10402.724919672102</v>
      </c>
      <c r="D72" s="85"/>
      <c r="E72" s="85"/>
      <c r="F72" s="84"/>
    </row>
    <row r="73" spans="1:6" ht="15">
      <c r="A73" s="73"/>
      <c r="B73" s="74" t="s">
        <v>126</v>
      </c>
      <c r="C73" s="86">
        <f>E66+E70</f>
        <v>4.0794999684988635</v>
      </c>
      <c r="D73" s="84"/>
      <c r="E73" s="84"/>
      <c r="F73" s="84"/>
    </row>
    <row r="74" spans="1:6" ht="15">
      <c r="A74" s="73"/>
      <c r="B74" s="74"/>
      <c r="C74" s="86"/>
      <c r="D74" s="84"/>
      <c r="E74" s="84"/>
      <c r="F74" s="84"/>
    </row>
    <row r="75" spans="1:6" ht="15">
      <c r="A75" s="41"/>
      <c r="B75" s="41"/>
      <c r="C75" s="41"/>
      <c r="D75" s="41"/>
      <c r="E75" s="41"/>
      <c r="F75" s="41"/>
    </row>
    <row r="76" spans="1:6" ht="36.75" customHeight="1">
      <c r="A76" s="287" t="s">
        <v>44</v>
      </c>
      <c r="B76" s="287"/>
      <c r="C76" s="287"/>
      <c r="D76" s="287"/>
      <c r="E76" s="287"/>
      <c r="F76" s="287"/>
    </row>
    <row r="77" spans="1:6" ht="15">
      <c r="A77" s="36"/>
      <c r="B77" s="36"/>
      <c r="C77" s="36"/>
      <c r="D77" s="41"/>
      <c r="E77" s="41"/>
      <c r="F77" s="41"/>
    </row>
    <row r="78" spans="1:6" ht="71.25">
      <c r="A78" s="42"/>
      <c r="B78" s="43" t="s">
        <v>4</v>
      </c>
      <c r="C78" s="43" t="s">
        <v>5</v>
      </c>
      <c r="D78" s="43" t="s">
        <v>6</v>
      </c>
      <c r="E78" s="43" t="s">
        <v>93</v>
      </c>
      <c r="F78" s="41"/>
    </row>
    <row r="79" spans="1:5" ht="32.25" customHeight="1">
      <c r="A79" s="288" t="s">
        <v>47</v>
      </c>
      <c r="B79" s="288"/>
      <c r="C79" s="288"/>
      <c r="D79" s="46">
        <f>E80*D47*12</f>
        <v>25.5</v>
      </c>
      <c r="E79" s="46">
        <f>E80</f>
        <v>0.01</v>
      </c>
    </row>
    <row r="80" spans="1:5" ht="30">
      <c r="A80" s="52" t="s">
        <v>48</v>
      </c>
      <c r="B80" s="88" t="s">
        <v>51</v>
      </c>
      <c r="C80" s="88" t="s">
        <v>90</v>
      </c>
      <c r="D80" s="55">
        <f>E80*D47*12</f>
        <v>25.5</v>
      </c>
      <c r="E80" s="87">
        <v>0.01</v>
      </c>
    </row>
    <row r="81" spans="1:5" ht="30" customHeight="1">
      <c r="A81" s="288" t="s">
        <v>53</v>
      </c>
      <c r="B81" s="288"/>
      <c r="C81" s="288"/>
      <c r="D81" s="46">
        <f>D82</f>
        <v>85.61</v>
      </c>
      <c r="E81" s="46">
        <f>E82</f>
        <v>0.06</v>
      </c>
    </row>
    <row r="82" spans="1:5" ht="15">
      <c r="A82" s="52" t="s">
        <v>50</v>
      </c>
      <c r="B82" s="88" t="s">
        <v>17</v>
      </c>
      <c r="C82" s="88" t="s">
        <v>90</v>
      </c>
      <c r="D82" s="55">
        <v>85.61</v>
      </c>
      <c r="E82" s="87">
        <v>0.06</v>
      </c>
    </row>
    <row r="83" spans="1:6" ht="15">
      <c r="A83" s="43"/>
      <c r="B83" s="71" t="s">
        <v>120</v>
      </c>
      <c r="C83" s="71"/>
      <c r="D83" s="72">
        <f>D79+D81</f>
        <v>111.11</v>
      </c>
      <c r="E83" s="46">
        <f>E79+E81</f>
        <v>0.06999999999999999</v>
      </c>
      <c r="F83" s="39"/>
    </row>
    <row r="84" spans="1:6" ht="15">
      <c r="A84" s="41"/>
      <c r="B84" s="41"/>
      <c r="C84" s="41"/>
      <c r="D84" s="41"/>
      <c r="E84" s="41"/>
      <c r="F84" s="41"/>
    </row>
    <row r="85" spans="1:6" ht="15">
      <c r="A85" s="78"/>
      <c r="B85" s="78"/>
      <c r="C85" s="78"/>
      <c r="D85" s="78"/>
      <c r="E85" s="78"/>
      <c r="F85" s="79"/>
    </row>
    <row r="86" spans="1:6" ht="105">
      <c r="A86" s="45" t="s">
        <v>3</v>
      </c>
      <c r="B86" s="45" t="s">
        <v>121</v>
      </c>
      <c r="C86" s="45" t="s">
        <v>122</v>
      </c>
      <c r="D86" s="45" t="s">
        <v>38</v>
      </c>
      <c r="E86" s="45" t="s">
        <v>123</v>
      </c>
      <c r="F86" s="45" t="s">
        <v>40</v>
      </c>
    </row>
    <row r="87" spans="1:6" ht="15">
      <c r="A87" s="45">
        <v>1</v>
      </c>
      <c r="B87" s="42" t="s">
        <v>41</v>
      </c>
      <c r="C87" s="45" t="s">
        <v>137</v>
      </c>
      <c r="D87" s="90">
        <v>510</v>
      </c>
      <c r="E87" s="91">
        <f>D87/12/$D$47</f>
        <v>0.2</v>
      </c>
      <c r="F87" s="81">
        <v>2</v>
      </c>
    </row>
    <row r="88" spans="1:6" ht="15">
      <c r="A88" s="92"/>
      <c r="B88" s="92" t="s">
        <v>36</v>
      </c>
      <c r="C88" s="92"/>
      <c r="D88" s="100">
        <f>D87</f>
        <v>510</v>
      </c>
      <c r="E88" s="100">
        <f>E87</f>
        <v>0.2</v>
      </c>
      <c r="F88" s="92"/>
    </row>
    <row r="90" spans="1:6" ht="15">
      <c r="A90" s="41"/>
      <c r="B90" s="36" t="s">
        <v>286</v>
      </c>
      <c r="C90" s="37"/>
      <c r="D90" s="38">
        <v>55.3</v>
      </c>
      <c r="E90" s="39" t="s">
        <v>82</v>
      </c>
      <c r="F90" s="41"/>
    </row>
    <row r="91" spans="1:6" ht="15">
      <c r="A91" s="41"/>
      <c r="B91" s="40"/>
      <c r="C91" s="41"/>
      <c r="D91" s="41"/>
      <c r="E91" s="41"/>
      <c r="F91" s="41"/>
    </row>
    <row r="92" spans="1:6" ht="36.75" customHeight="1">
      <c r="A92" s="287" t="s">
        <v>62</v>
      </c>
      <c r="B92" s="287"/>
      <c r="C92" s="287"/>
      <c r="D92" s="287"/>
      <c r="E92" s="287"/>
      <c r="F92" s="41"/>
    </row>
    <row r="93" spans="1:6" ht="15">
      <c r="A93" s="36"/>
      <c r="B93" s="36"/>
      <c r="C93" s="36"/>
      <c r="D93" s="36"/>
      <c r="E93" s="36"/>
      <c r="F93" s="41"/>
    </row>
    <row r="94" spans="1:6" ht="71.25">
      <c r="A94" s="42"/>
      <c r="B94" s="43" t="s">
        <v>4</v>
      </c>
      <c r="C94" s="43" t="s">
        <v>5</v>
      </c>
      <c r="D94" s="43" t="s">
        <v>6</v>
      </c>
      <c r="E94" s="43" t="s">
        <v>93</v>
      </c>
      <c r="F94" s="41"/>
    </row>
    <row r="95" spans="1:6" ht="15">
      <c r="A95" s="291" t="s">
        <v>138</v>
      </c>
      <c r="B95" s="259"/>
      <c r="C95" s="260"/>
      <c r="D95" s="46">
        <f>SUM(D96:D97)</f>
        <v>740.1418411566118</v>
      </c>
      <c r="E95" s="46">
        <f>SUM(E96:E97)</f>
        <v>1.1153433411039961</v>
      </c>
      <c r="F95" s="62"/>
    </row>
    <row r="96" spans="1:6" ht="15">
      <c r="A96" s="52" t="s">
        <v>48</v>
      </c>
      <c r="B96" s="42" t="s">
        <v>26</v>
      </c>
      <c r="C96" s="54" t="s">
        <v>101</v>
      </c>
      <c r="D96" s="55">
        <f>E96*$D$90*12</f>
        <v>677.1654539401754</v>
      </c>
      <c r="E96" s="64">
        <v>1.0204422150997219</v>
      </c>
      <c r="F96" s="60"/>
    </row>
    <row r="97" spans="1:6" ht="30">
      <c r="A97" s="52" t="s">
        <v>50</v>
      </c>
      <c r="B97" s="56" t="s">
        <v>28</v>
      </c>
      <c r="C97" s="56" t="s">
        <v>103</v>
      </c>
      <c r="D97" s="55">
        <f>E97*$D$90*12</f>
        <v>62.97638721643632</v>
      </c>
      <c r="E97" s="55">
        <v>0.09490112600427415</v>
      </c>
      <c r="F97" s="60"/>
    </row>
    <row r="98" spans="1:6" ht="34.5" customHeight="1">
      <c r="A98" s="291" t="s">
        <v>77</v>
      </c>
      <c r="B98" s="292"/>
      <c r="C98" s="293"/>
      <c r="D98" s="65">
        <f>SUM(D99:D100)</f>
        <v>800.1837907931031</v>
      </c>
      <c r="E98" s="65">
        <f>SUM(E99:E100)</f>
        <v>1.205822469549583</v>
      </c>
      <c r="F98" s="60"/>
    </row>
    <row r="99" spans="1:6" ht="30">
      <c r="A99" s="52" t="s">
        <v>74</v>
      </c>
      <c r="B99" s="56" t="s">
        <v>22</v>
      </c>
      <c r="C99" s="56" t="s">
        <v>13</v>
      </c>
      <c r="D99" s="55">
        <f>E99*12*$D$90</f>
        <v>38.49099265607359</v>
      </c>
      <c r="E99" s="64">
        <v>0.05800330418335381</v>
      </c>
      <c r="F99" s="67"/>
    </row>
    <row r="100" spans="1:6" ht="90">
      <c r="A100" s="52" t="s">
        <v>130</v>
      </c>
      <c r="B100" s="56" t="s">
        <v>108</v>
      </c>
      <c r="C100" s="56" t="s">
        <v>13</v>
      </c>
      <c r="D100" s="55">
        <f>E100*12*$D$90</f>
        <v>761.6927981370295</v>
      </c>
      <c r="E100" s="64">
        <v>1.147819165366229</v>
      </c>
      <c r="F100" s="41"/>
    </row>
    <row r="101" spans="1:6" ht="21" customHeight="1">
      <c r="A101" s="289" t="s">
        <v>132</v>
      </c>
      <c r="B101" s="290"/>
      <c r="C101" s="290"/>
      <c r="D101" s="68">
        <f>SUM(D102:D103)</f>
        <v>550.27234636836</v>
      </c>
      <c r="E101" s="68">
        <f>SUM(E102:E103)</f>
        <v>0.8292229451</v>
      </c>
      <c r="F101" s="41"/>
    </row>
    <row r="102" spans="1:6" ht="75">
      <c r="A102" s="69" t="s">
        <v>131</v>
      </c>
      <c r="B102" s="56" t="s">
        <v>88</v>
      </c>
      <c r="C102" s="56" t="s">
        <v>13</v>
      </c>
      <c r="D102" s="55">
        <f>E102*12*$D$90</f>
        <v>65.15632230492</v>
      </c>
      <c r="E102" s="55">
        <v>0.09818613970000001</v>
      </c>
      <c r="F102" s="41"/>
    </row>
    <row r="103" spans="1:6" ht="105">
      <c r="A103" s="52" t="s">
        <v>95</v>
      </c>
      <c r="B103" s="56" t="s">
        <v>71</v>
      </c>
      <c r="C103" s="56" t="s">
        <v>112</v>
      </c>
      <c r="D103" s="55">
        <f>E103*12*$D$90</f>
        <v>485.11602406344</v>
      </c>
      <c r="E103" s="64">
        <v>0.7310368054</v>
      </c>
      <c r="F103" s="41"/>
    </row>
    <row r="104" spans="1:6" ht="18.75" customHeight="1">
      <c r="A104" s="289" t="s">
        <v>134</v>
      </c>
      <c r="B104" s="289"/>
      <c r="C104" s="289"/>
      <c r="D104" s="70">
        <f>SUM(D105)</f>
        <v>160.77599999999998</v>
      </c>
      <c r="E104" s="70">
        <f>SUM(E105)</f>
        <v>0.24227848101265823</v>
      </c>
      <c r="F104" s="41"/>
    </row>
    <row r="105" spans="1:6" ht="15">
      <c r="A105" s="52" t="s">
        <v>141</v>
      </c>
      <c r="B105" s="56" t="s">
        <v>68</v>
      </c>
      <c r="C105" s="56" t="s">
        <v>115</v>
      </c>
      <c r="D105" s="55">
        <f>E105*12*$D$90</f>
        <v>160.77599999999998</v>
      </c>
      <c r="E105" s="101">
        <v>0.24227848101265823</v>
      </c>
      <c r="F105" s="41"/>
    </row>
    <row r="106" spans="1:6" ht="15">
      <c r="A106" s="289" t="s">
        <v>116</v>
      </c>
      <c r="B106" s="289"/>
      <c r="C106" s="289"/>
      <c r="D106" s="70">
        <f>SUM(D107:D109)</f>
        <v>136.12035551386347</v>
      </c>
      <c r="E106" s="70">
        <f>SUM(E107:E109)</f>
        <v>0.20512410414988472</v>
      </c>
      <c r="F106" s="41"/>
    </row>
    <row r="107" spans="1:6" ht="15">
      <c r="A107" s="45" t="s">
        <v>135</v>
      </c>
      <c r="B107" s="50" t="s">
        <v>78</v>
      </c>
      <c r="C107" s="50" t="s">
        <v>12</v>
      </c>
      <c r="D107" s="101">
        <f>E107*D90*12</f>
        <v>106.94196811583964</v>
      </c>
      <c r="E107" s="101">
        <v>0.161154261777938</v>
      </c>
      <c r="F107" s="41"/>
    </row>
    <row r="108" spans="1:6" ht="30">
      <c r="A108" s="52" t="s">
        <v>136</v>
      </c>
      <c r="B108" s="56" t="s">
        <v>32</v>
      </c>
      <c r="C108" s="56" t="s">
        <v>103</v>
      </c>
      <c r="D108" s="55">
        <f>E108*12*$D$90</f>
        <v>20.424871178616755</v>
      </c>
      <c r="E108" s="64">
        <v>0.0307788896603628</v>
      </c>
      <c r="F108" s="41"/>
    </row>
    <row r="109" spans="1:6" ht="45">
      <c r="A109" s="52" t="s">
        <v>104</v>
      </c>
      <c r="B109" s="56" t="s">
        <v>86</v>
      </c>
      <c r="C109" s="56" t="s">
        <v>34</v>
      </c>
      <c r="D109" s="55">
        <f>E109*12*$D$90</f>
        <v>8.753516219407075</v>
      </c>
      <c r="E109" s="55">
        <v>0.0131909527115839</v>
      </c>
      <c r="F109" s="41"/>
    </row>
    <row r="110" spans="1:6" ht="15">
      <c r="A110" s="43"/>
      <c r="B110" s="71" t="s">
        <v>120</v>
      </c>
      <c r="C110" s="71"/>
      <c r="D110" s="103">
        <f>D95+D98+D101+D104+D106</f>
        <v>2387.4943338319385</v>
      </c>
      <c r="E110" s="46">
        <f>E95+E98+E101+E104+E106</f>
        <v>3.5977913409161224</v>
      </c>
      <c r="F110" s="39"/>
    </row>
    <row r="111" spans="1:6" ht="15">
      <c r="A111" s="73"/>
      <c r="B111" s="74"/>
      <c r="C111" s="75"/>
      <c r="D111" s="76"/>
      <c r="E111" s="77"/>
      <c r="F111" s="41"/>
    </row>
    <row r="112" spans="1:6" ht="105">
      <c r="A112" s="45" t="s">
        <v>3</v>
      </c>
      <c r="B112" s="45" t="s">
        <v>121</v>
      </c>
      <c r="C112" s="45" t="s">
        <v>122</v>
      </c>
      <c r="D112" s="45" t="s">
        <v>38</v>
      </c>
      <c r="E112" s="45" t="s">
        <v>123</v>
      </c>
      <c r="F112" s="45" t="s">
        <v>40</v>
      </c>
    </row>
    <row r="113" spans="1:6" ht="15">
      <c r="A113" s="45">
        <v>1</v>
      </c>
      <c r="B113" s="42" t="s">
        <v>41</v>
      </c>
      <c r="C113" s="45" t="s">
        <v>287</v>
      </c>
      <c r="D113" s="45">
        <v>1459.92</v>
      </c>
      <c r="E113" s="80">
        <f>D113/12/D90</f>
        <v>2.2</v>
      </c>
      <c r="F113" s="81">
        <v>2</v>
      </c>
    </row>
    <row r="114" spans="1:6" ht="15">
      <c r="A114" s="45"/>
      <c r="B114" s="49" t="s">
        <v>36</v>
      </c>
      <c r="C114" s="44"/>
      <c r="D114" s="99">
        <f>D113</f>
        <v>1459.92</v>
      </c>
      <c r="E114" s="82">
        <f>SUM(E113:E113)</f>
        <v>2.2</v>
      </c>
      <c r="F114" s="83"/>
    </row>
    <row r="115" spans="1:6" ht="6.75" customHeight="1">
      <c r="A115" s="73"/>
      <c r="B115" s="74"/>
      <c r="C115" s="84"/>
      <c r="D115" s="84"/>
      <c r="E115" s="84"/>
      <c r="F115" s="84"/>
    </row>
    <row r="116" spans="1:6" ht="29.25">
      <c r="A116" s="73"/>
      <c r="B116" s="74" t="s">
        <v>125</v>
      </c>
      <c r="C116" s="85">
        <f>D110+D114</f>
        <v>3847.4143338319386</v>
      </c>
      <c r="D116" s="85"/>
      <c r="E116" s="85"/>
      <c r="F116" s="84"/>
    </row>
    <row r="117" spans="1:6" ht="15">
      <c r="A117" s="73"/>
      <c r="B117" s="74" t="s">
        <v>126</v>
      </c>
      <c r="C117" s="86">
        <f>E110+E114</f>
        <v>5.797791340916122</v>
      </c>
      <c r="D117" s="84"/>
      <c r="E117" s="84"/>
      <c r="F117" s="84"/>
    </row>
    <row r="118" spans="1:6" ht="6.75" customHeight="1">
      <c r="A118" s="73"/>
      <c r="B118" s="74"/>
      <c r="C118" s="86"/>
      <c r="D118" s="84"/>
      <c r="E118" s="84"/>
      <c r="F118" s="84"/>
    </row>
    <row r="119" spans="1:6" ht="27.75" customHeight="1">
      <c r="A119" s="287" t="s">
        <v>44</v>
      </c>
      <c r="B119" s="287"/>
      <c r="C119" s="287"/>
      <c r="D119" s="287"/>
      <c r="E119" s="287"/>
      <c r="F119" s="287"/>
    </row>
    <row r="120" spans="1:6" ht="15">
      <c r="A120" s="36"/>
      <c r="B120" s="36"/>
      <c r="C120" s="36"/>
      <c r="D120" s="41"/>
      <c r="E120" s="41"/>
      <c r="F120" s="41"/>
    </row>
    <row r="121" spans="1:6" ht="71.25">
      <c r="A121" s="42"/>
      <c r="B121" s="43" t="s">
        <v>4</v>
      </c>
      <c r="C121" s="43" t="s">
        <v>5</v>
      </c>
      <c r="D121" s="43" t="s">
        <v>6</v>
      </c>
      <c r="E121" s="43" t="s">
        <v>93</v>
      </c>
      <c r="F121" s="41"/>
    </row>
    <row r="122" spans="1:5" ht="30" customHeight="1">
      <c r="A122" s="288" t="s">
        <v>47</v>
      </c>
      <c r="B122" s="288"/>
      <c r="C122" s="288"/>
      <c r="D122" s="46">
        <f>D123</f>
        <v>6.635999999999999</v>
      </c>
      <c r="E122" s="46">
        <f>E123</f>
        <v>0.01</v>
      </c>
    </row>
    <row r="123" spans="1:5" ht="30">
      <c r="A123" s="52" t="s">
        <v>48</v>
      </c>
      <c r="B123" s="88" t="s">
        <v>51</v>
      </c>
      <c r="C123" s="88" t="s">
        <v>90</v>
      </c>
      <c r="D123" s="55">
        <f>E123*D90*12</f>
        <v>6.635999999999999</v>
      </c>
      <c r="E123" s="87">
        <v>0.01</v>
      </c>
    </row>
    <row r="124" spans="1:5" ht="34.5" customHeight="1">
      <c r="A124" s="288" t="s">
        <v>53</v>
      </c>
      <c r="B124" s="288"/>
      <c r="C124" s="288"/>
      <c r="D124" s="46">
        <f>D125</f>
        <v>39.815999999999995</v>
      </c>
      <c r="E124" s="46">
        <f>E125</f>
        <v>0.06</v>
      </c>
    </row>
    <row r="125" spans="1:5" ht="15">
      <c r="A125" s="52" t="s">
        <v>50</v>
      </c>
      <c r="B125" s="88" t="s">
        <v>17</v>
      </c>
      <c r="C125" s="88" t="s">
        <v>90</v>
      </c>
      <c r="D125" s="55">
        <f>E125*D90*12</f>
        <v>39.815999999999995</v>
      </c>
      <c r="E125" s="64">
        <v>0.06</v>
      </c>
    </row>
    <row r="126" spans="1:6" ht="15">
      <c r="A126" s="43"/>
      <c r="B126" s="71" t="s">
        <v>120</v>
      </c>
      <c r="C126" s="71"/>
      <c r="D126" s="72">
        <f>D122+D124</f>
        <v>46.452</v>
      </c>
      <c r="E126" s="46">
        <f>E122+E124</f>
        <v>0.06999999999999999</v>
      </c>
      <c r="F126" s="39"/>
    </row>
    <row r="127" spans="1:6" ht="15">
      <c r="A127" s="41"/>
      <c r="B127" s="41"/>
      <c r="C127" s="41"/>
      <c r="D127" s="41"/>
      <c r="E127" s="41"/>
      <c r="F127" s="41"/>
    </row>
    <row r="128" spans="2:3" ht="29.25">
      <c r="B128" s="74" t="s">
        <v>307</v>
      </c>
      <c r="C128" s="104">
        <f>C116+C72+C28</f>
        <v>23514.31221760785</v>
      </c>
    </row>
  </sheetData>
  <mergeCells count="28">
    <mergeCell ref="A1:E1"/>
    <mergeCell ref="A4:E4"/>
    <mergeCell ref="A49:E49"/>
    <mergeCell ref="A17:C17"/>
    <mergeCell ref="A19:C19"/>
    <mergeCell ref="A32:F32"/>
    <mergeCell ref="A7:C7"/>
    <mergeCell ref="A10:C10"/>
    <mergeCell ref="A14:C14"/>
    <mergeCell ref="A95:C95"/>
    <mergeCell ref="A98:C98"/>
    <mergeCell ref="A101:C101"/>
    <mergeCell ref="A35:C35"/>
    <mergeCell ref="A37:C37"/>
    <mergeCell ref="A57:C57"/>
    <mergeCell ref="A60:C60"/>
    <mergeCell ref="A62:C62"/>
    <mergeCell ref="A52:C52"/>
    <mergeCell ref="A55:C55"/>
    <mergeCell ref="A76:F76"/>
    <mergeCell ref="A79:C79"/>
    <mergeCell ref="A81:C81"/>
    <mergeCell ref="A92:E92"/>
    <mergeCell ref="A104:C104"/>
    <mergeCell ref="A119:F119"/>
    <mergeCell ref="A122:C122"/>
    <mergeCell ref="A124:C124"/>
    <mergeCell ref="A106:C10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8"/>
  <sheetViews>
    <sheetView workbookViewId="0" topLeftCell="A220">
      <selection activeCell="C70" sqref="C70"/>
    </sheetView>
  </sheetViews>
  <sheetFormatPr defaultColWidth="9.00390625" defaultRowHeight="12.75"/>
  <cols>
    <col min="1" max="1" width="3.75390625" style="35" customWidth="1"/>
    <col min="2" max="2" width="43.375" style="35" customWidth="1"/>
    <col min="3" max="3" width="17.75390625" style="35" customWidth="1"/>
    <col min="4" max="4" width="11.00390625" style="35" customWidth="1"/>
    <col min="5" max="5" width="12.875" style="35" customWidth="1"/>
    <col min="6" max="6" width="9.125" style="35" customWidth="1"/>
    <col min="7" max="7" width="11.125" style="35" customWidth="1"/>
    <col min="8" max="16384" width="9.125" style="35" customWidth="1"/>
  </cols>
  <sheetData>
    <row r="1" spans="1:6" ht="15">
      <c r="A1" s="287" t="s">
        <v>142</v>
      </c>
      <c r="B1" s="287"/>
      <c r="C1" s="287"/>
      <c r="D1" s="287"/>
      <c r="E1" s="287"/>
      <c r="F1" s="41"/>
    </row>
    <row r="2" spans="1:6" ht="39" customHeight="1">
      <c r="A2" s="41"/>
      <c r="B2" s="36" t="s">
        <v>143</v>
      </c>
      <c r="C2" s="37"/>
      <c r="D2" s="38">
        <v>104.5</v>
      </c>
      <c r="E2" s="39" t="s">
        <v>82</v>
      </c>
      <c r="F2" s="41"/>
    </row>
    <row r="3" spans="1:6" ht="15">
      <c r="A3" s="41"/>
      <c r="B3" s="40"/>
      <c r="C3" s="41"/>
      <c r="D3" s="41"/>
      <c r="E3" s="41"/>
      <c r="F3" s="41"/>
    </row>
    <row r="4" spans="1:6" ht="32.25" customHeight="1">
      <c r="A4" s="287" t="s">
        <v>62</v>
      </c>
      <c r="B4" s="287"/>
      <c r="C4" s="287"/>
      <c r="D4" s="287"/>
      <c r="E4" s="287"/>
      <c r="F4" s="41"/>
    </row>
    <row r="5" spans="1:6" ht="15">
      <c r="A5" s="36"/>
      <c r="B5" s="36"/>
      <c r="C5" s="36"/>
      <c r="D5" s="36"/>
      <c r="E5" s="36"/>
      <c r="F5" s="41"/>
    </row>
    <row r="6" spans="1:6" ht="79.5" customHeight="1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7" ht="15">
      <c r="A7" s="304" t="s">
        <v>129</v>
      </c>
      <c r="B7" s="305"/>
      <c r="C7" s="305"/>
      <c r="D7" s="46">
        <f>SUM(D8:D9)</f>
        <v>1628.3120505445418</v>
      </c>
      <c r="E7" s="46">
        <f>SUM(E8:E9)</f>
        <v>1.298494458169491</v>
      </c>
      <c r="F7" s="62"/>
      <c r="G7" s="63"/>
    </row>
    <row r="8" spans="1:7" ht="15.75" customHeight="1">
      <c r="A8" s="52" t="s">
        <v>48</v>
      </c>
      <c r="B8" s="42" t="s">
        <v>26</v>
      </c>
      <c r="C8" s="54" t="s">
        <v>101</v>
      </c>
      <c r="D8" s="55">
        <f>E8*$D$2*12</f>
        <v>1489.7639986683869</v>
      </c>
      <c r="E8" s="64">
        <v>1.188009568316098</v>
      </c>
      <c r="F8" s="60"/>
      <c r="G8" s="63"/>
    </row>
    <row r="9" spans="1:7" ht="30">
      <c r="A9" s="52" t="s">
        <v>50</v>
      </c>
      <c r="B9" s="56" t="s">
        <v>28</v>
      </c>
      <c r="C9" s="56" t="s">
        <v>103</v>
      </c>
      <c r="D9" s="55">
        <f>E9*$D$2*12</f>
        <v>138.54805187615483</v>
      </c>
      <c r="E9" s="55">
        <v>0.110484889853393</v>
      </c>
      <c r="F9" s="60"/>
      <c r="G9" s="63"/>
    </row>
    <row r="10" spans="1:7" ht="32.25" customHeight="1">
      <c r="A10" s="291" t="s">
        <v>77</v>
      </c>
      <c r="B10" s="292"/>
      <c r="C10" s="293"/>
      <c r="D10" s="65">
        <f>SUM(D11:D11)</f>
        <v>39.54208808484582</v>
      </c>
      <c r="E10" s="65">
        <f>SUM(E11:E11)</f>
        <v>0.03153276561789938</v>
      </c>
      <c r="F10" s="60"/>
      <c r="G10" s="63"/>
    </row>
    <row r="11" spans="1:6" ht="96" customHeight="1">
      <c r="A11" s="52" t="s">
        <v>74</v>
      </c>
      <c r="B11" s="56" t="s">
        <v>108</v>
      </c>
      <c r="C11" s="56" t="s">
        <v>13</v>
      </c>
      <c r="D11" s="55">
        <f>E11*12*$D$2</f>
        <v>39.54208808484582</v>
      </c>
      <c r="E11" s="93">
        <v>0.03153276561789938</v>
      </c>
      <c r="F11" s="41"/>
    </row>
    <row r="12" spans="1:7" ht="15">
      <c r="A12" s="289" t="s">
        <v>132</v>
      </c>
      <c r="B12" s="290"/>
      <c r="C12" s="290"/>
      <c r="D12" s="68">
        <f>SUM(D13:D14)</f>
        <v>434.06575926006747</v>
      </c>
      <c r="E12" s="68">
        <f>SUM(E13:E14)</f>
        <v>0.34614494358857056</v>
      </c>
      <c r="F12" s="41"/>
      <c r="G12" s="105"/>
    </row>
    <row r="13" spans="1:7" ht="80.25" customHeight="1">
      <c r="A13" s="69" t="s">
        <v>130</v>
      </c>
      <c r="B13" s="56" t="s">
        <v>144</v>
      </c>
      <c r="C13" s="56" t="s">
        <v>13</v>
      </c>
      <c r="D13" s="55">
        <f>E13*12*$D$2</f>
        <v>47.55185339798563</v>
      </c>
      <c r="E13" s="55">
        <v>0.0379201382759056</v>
      </c>
      <c r="F13" s="41"/>
      <c r="G13" s="94"/>
    </row>
    <row r="14" spans="1:6" ht="110.25" customHeight="1">
      <c r="A14" s="52" t="s">
        <v>59</v>
      </c>
      <c r="B14" s="56" t="s">
        <v>71</v>
      </c>
      <c r="C14" s="56" t="s">
        <v>145</v>
      </c>
      <c r="D14" s="55">
        <f>E14*12*$D$2</f>
        <v>386.51390586208186</v>
      </c>
      <c r="E14" s="64">
        <v>0.30822480531266494</v>
      </c>
      <c r="F14" s="41"/>
    </row>
    <row r="15" spans="1:7" ht="15">
      <c r="A15" s="289" t="s">
        <v>134</v>
      </c>
      <c r="B15" s="289"/>
      <c r="C15" s="289"/>
      <c r="D15" s="70">
        <f>SUM(D16)</f>
        <v>241.16399999999936</v>
      </c>
      <c r="E15" s="70">
        <f>SUM(E16)</f>
        <v>0.19231578947368372</v>
      </c>
      <c r="F15" s="41"/>
      <c r="G15" s="96"/>
    </row>
    <row r="16" spans="1:7" ht="15">
      <c r="A16" s="52" t="s">
        <v>133</v>
      </c>
      <c r="B16" s="56" t="s">
        <v>68</v>
      </c>
      <c r="C16" s="56" t="s">
        <v>115</v>
      </c>
      <c r="D16" s="55">
        <f>E16*12*$D$2</f>
        <v>241.16399999999936</v>
      </c>
      <c r="E16" s="101">
        <v>0.19231578947368372</v>
      </c>
      <c r="F16" s="41"/>
      <c r="G16" s="51"/>
    </row>
    <row r="17" spans="1:7" ht="15">
      <c r="A17" s="289" t="s">
        <v>116</v>
      </c>
      <c r="B17" s="289"/>
      <c r="C17" s="289"/>
      <c r="D17" s="70">
        <f>SUM(D18:D21)</f>
        <v>516.2402687531646</v>
      </c>
      <c r="E17" s="70">
        <f>SUM(E18:E21)</f>
        <v>0.41167485546504357</v>
      </c>
      <c r="F17" s="41"/>
      <c r="G17" s="96"/>
    </row>
    <row r="18" spans="1:7" ht="15">
      <c r="A18" s="45" t="s">
        <v>141</v>
      </c>
      <c r="B18" s="50" t="s">
        <v>78</v>
      </c>
      <c r="C18" s="50" t="s">
        <v>12</v>
      </c>
      <c r="D18" s="101">
        <f>E18*12*D2</f>
        <v>235.2723298548479</v>
      </c>
      <c r="E18" s="101">
        <v>0.18761748792252622</v>
      </c>
      <c r="F18" s="41"/>
      <c r="G18" s="51"/>
    </row>
    <row r="19" spans="1:7" ht="30">
      <c r="A19" s="52" t="s">
        <v>135</v>
      </c>
      <c r="B19" s="56" t="s">
        <v>32</v>
      </c>
      <c r="C19" s="56" t="s">
        <v>103</v>
      </c>
      <c r="D19" s="55">
        <f>E19*12*$D$2</f>
        <v>26.9100138648</v>
      </c>
      <c r="E19" s="64">
        <v>0.0214593412</v>
      </c>
      <c r="F19" s="41"/>
      <c r="G19" s="51"/>
    </row>
    <row r="20" spans="1:7" ht="48" customHeight="1">
      <c r="A20" s="52" t="s">
        <v>136</v>
      </c>
      <c r="B20" s="56" t="s">
        <v>86</v>
      </c>
      <c r="C20" s="56" t="s">
        <v>34</v>
      </c>
      <c r="D20" s="55">
        <f>E20*12*$D$2</f>
        <v>11.532862690800002</v>
      </c>
      <c r="E20" s="55">
        <v>0.009196860200000002</v>
      </c>
      <c r="F20" s="41"/>
      <c r="G20" s="102"/>
    </row>
    <row r="21" spans="1:7" ht="15.75" customHeight="1">
      <c r="A21" s="52" t="s">
        <v>104</v>
      </c>
      <c r="B21" s="56" t="s">
        <v>35</v>
      </c>
      <c r="C21" s="56" t="s">
        <v>13</v>
      </c>
      <c r="D21" s="55">
        <f>E21*12*$D$2</f>
        <v>242.5250623427167</v>
      </c>
      <c r="E21" s="64">
        <v>0.19340116614251732</v>
      </c>
      <c r="F21" s="41"/>
      <c r="G21" s="98"/>
    </row>
    <row r="22" spans="1:7" ht="15">
      <c r="A22" s="43"/>
      <c r="B22" s="71" t="s">
        <v>120</v>
      </c>
      <c r="C22" s="71"/>
      <c r="D22" s="103">
        <f>D7+D10+D12+D15+D17</f>
        <v>2859.3241666426193</v>
      </c>
      <c r="E22" s="46">
        <f>E7+E10+E12+E15+E17</f>
        <v>2.280162812314688</v>
      </c>
      <c r="F22" s="39"/>
      <c r="G22" s="98"/>
    </row>
    <row r="23" spans="1:6" ht="15">
      <c r="A23" s="73"/>
      <c r="B23" s="74"/>
      <c r="C23" s="75"/>
      <c r="D23" s="76"/>
      <c r="E23" s="77"/>
      <c r="F23" s="41"/>
    </row>
    <row r="24" spans="1:6" ht="15">
      <c r="A24" s="78"/>
      <c r="B24" s="78"/>
      <c r="C24" s="78"/>
      <c r="D24" s="78"/>
      <c r="E24" s="78"/>
      <c r="F24" s="79"/>
    </row>
    <row r="25" spans="1:6" ht="105">
      <c r="A25" s="45" t="s">
        <v>3</v>
      </c>
      <c r="B25" s="45" t="s">
        <v>121</v>
      </c>
      <c r="C25" s="45" t="s">
        <v>122</v>
      </c>
      <c r="D25" s="45" t="s">
        <v>38</v>
      </c>
      <c r="E25" s="45" t="s">
        <v>123</v>
      </c>
      <c r="F25" s="45" t="s">
        <v>40</v>
      </c>
    </row>
    <row r="26" spans="1:6" ht="15">
      <c r="A26" s="45">
        <v>1</v>
      </c>
      <c r="B26" s="42" t="s">
        <v>41</v>
      </c>
      <c r="C26" s="45" t="s">
        <v>146</v>
      </c>
      <c r="D26" s="45">
        <v>2758.8</v>
      </c>
      <c r="E26" s="80">
        <f>D26/12/D2</f>
        <v>2.2</v>
      </c>
      <c r="F26" s="81">
        <v>2</v>
      </c>
    </row>
    <row r="27" spans="1:6" ht="15">
      <c r="A27" s="45"/>
      <c r="B27" s="49" t="s">
        <v>36</v>
      </c>
      <c r="C27" s="44"/>
      <c r="D27" s="122">
        <f>D26-0.2</f>
        <v>2758.6000000000004</v>
      </c>
      <c r="E27" s="82">
        <f>SUM(E26:E26)</f>
        <v>2.2</v>
      </c>
      <c r="F27" s="83"/>
    </row>
    <row r="28" spans="1:6" ht="15">
      <c r="A28" s="73"/>
      <c r="B28" s="74"/>
      <c r="C28" s="84"/>
      <c r="D28" s="84"/>
      <c r="E28" s="84"/>
      <c r="F28" s="84"/>
    </row>
    <row r="29" spans="1:6" ht="29.25">
      <c r="A29" s="73"/>
      <c r="B29" s="74" t="s">
        <v>125</v>
      </c>
      <c r="C29" s="85">
        <f>D22+D27</f>
        <v>5617.92416664262</v>
      </c>
      <c r="D29" s="85"/>
      <c r="E29" s="85"/>
      <c r="F29" s="84"/>
    </row>
    <row r="30" spans="1:6" ht="15">
      <c r="A30" s="73"/>
      <c r="B30" s="74" t="s">
        <v>126</v>
      </c>
      <c r="C30" s="86">
        <f>E22+E27</f>
        <v>4.480162812314688</v>
      </c>
      <c r="D30" s="84"/>
      <c r="E30" s="84"/>
      <c r="F30" s="84"/>
    </row>
    <row r="31" spans="1:6" ht="15">
      <c r="A31" s="73"/>
      <c r="B31" s="74"/>
      <c r="C31" s="86"/>
      <c r="D31" s="84"/>
      <c r="E31" s="84"/>
      <c r="F31" s="84"/>
    </row>
    <row r="32" spans="1:6" ht="15">
      <c r="A32" s="41"/>
      <c r="B32" s="41"/>
      <c r="C32" s="41"/>
      <c r="D32" s="41"/>
      <c r="E32" s="41"/>
      <c r="F32" s="41"/>
    </row>
    <row r="33" spans="1:6" ht="36.75" customHeight="1">
      <c r="A33" s="287" t="s">
        <v>44</v>
      </c>
      <c r="B33" s="287"/>
      <c r="C33" s="287"/>
      <c r="D33" s="287"/>
      <c r="E33" s="287"/>
      <c r="F33" s="287"/>
    </row>
    <row r="34" spans="1:6" ht="15">
      <c r="A34" s="36"/>
      <c r="B34" s="36"/>
      <c r="C34" s="36"/>
      <c r="D34" s="41"/>
      <c r="E34" s="41"/>
      <c r="F34" s="41"/>
    </row>
    <row r="35" spans="1:6" ht="79.5" customHeight="1">
      <c r="A35" s="42"/>
      <c r="B35" s="43" t="s">
        <v>4</v>
      </c>
      <c r="C35" s="43" t="s">
        <v>5</v>
      </c>
      <c r="D35" s="43" t="s">
        <v>6</v>
      </c>
      <c r="E35" s="43" t="s">
        <v>93</v>
      </c>
      <c r="F35" s="41"/>
    </row>
    <row r="36" spans="1:5" ht="32.25" customHeight="1">
      <c r="A36" s="288" t="s">
        <v>47</v>
      </c>
      <c r="B36" s="288"/>
      <c r="C36" s="288"/>
      <c r="D36" s="46">
        <f>D37</f>
        <v>12.54</v>
      </c>
      <c r="E36" s="46">
        <f>E37</f>
        <v>0.01</v>
      </c>
    </row>
    <row r="37" spans="1:5" ht="30">
      <c r="A37" s="52" t="s">
        <v>48</v>
      </c>
      <c r="B37" s="88" t="s">
        <v>51</v>
      </c>
      <c r="C37" s="88" t="s">
        <v>90</v>
      </c>
      <c r="D37" s="55">
        <f>E37*D2*12</f>
        <v>12.54</v>
      </c>
      <c r="E37" s="87">
        <v>0.01</v>
      </c>
    </row>
    <row r="38" spans="1:5" ht="32.25" customHeight="1">
      <c r="A38" s="288" t="s">
        <v>53</v>
      </c>
      <c r="B38" s="288"/>
      <c r="C38" s="288"/>
      <c r="D38" s="46">
        <f>D39</f>
        <v>75.24</v>
      </c>
      <c r="E38" s="46">
        <f>E39</f>
        <v>0.06</v>
      </c>
    </row>
    <row r="39" spans="1:5" ht="15">
      <c r="A39" s="52" t="s">
        <v>50</v>
      </c>
      <c r="B39" s="88" t="s">
        <v>17</v>
      </c>
      <c r="C39" s="88" t="s">
        <v>90</v>
      </c>
      <c r="D39" s="55">
        <f>E39*D2*12</f>
        <v>75.24</v>
      </c>
      <c r="E39" s="87">
        <v>0.06</v>
      </c>
    </row>
    <row r="40" spans="1:6" ht="15">
      <c r="A40" s="43"/>
      <c r="B40" s="71" t="s">
        <v>120</v>
      </c>
      <c r="C40" s="71"/>
      <c r="D40" s="72">
        <f>D36+D38</f>
        <v>87.78</v>
      </c>
      <c r="E40" s="46">
        <f>E36+E38</f>
        <v>0.06999999999999999</v>
      </c>
      <c r="F40" s="39"/>
    </row>
    <row r="41" spans="1:6" ht="15">
      <c r="A41" s="41"/>
      <c r="B41" s="41"/>
      <c r="C41" s="41"/>
      <c r="D41" s="41"/>
      <c r="E41" s="41"/>
      <c r="F41" s="41"/>
    </row>
    <row r="42" spans="1:6" ht="15">
      <c r="A42" s="41"/>
      <c r="B42" s="36" t="s">
        <v>148</v>
      </c>
      <c r="C42" s="37"/>
      <c r="D42" s="38">
        <v>434</v>
      </c>
      <c r="E42" s="39" t="s">
        <v>82</v>
      </c>
      <c r="F42" s="41"/>
    </row>
    <row r="43" spans="1:6" ht="15">
      <c r="A43" s="41"/>
      <c r="B43" s="40"/>
      <c r="C43" s="41"/>
      <c r="D43" s="41"/>
      <c r="E43" s="41"/>
      <c r="F43" s="41"/>
    </row>
    <row r="44" spans="1:6" ht="48.75" customHeight="1">
      <c r="A44" s="287" t="s">
        <v>62</v>
      </c>
      <c r="B44" s="287"/>
      <c r="C44" s="287"/>
      <c r="D44" s="287"/>
      <c r="E44" s="287"/>
      <c r="F44" s="41"/>
    </row>
    <row r="45" spans="1:6" ht="15">
      <c r="A45" s="36"/>
      <c r="B45" s="36"/>
      <c r="C45" s="36"/>
      <c r="D45" s="36"/>
      <c r="E45" s="36"/>
      <c r="F45" s="41"/>
    </row>
    <row r="46" spans="1:6" ht="71.25">
      <c r="A46" s="42"/>
      <c r="B46" s="43" t="s">
        <v>4</v>
      </c>
      <c r="C46" s="43" t="s">
        <v>5</v>
      </c>
      <c r="D46" s="43" t="s">
        <v>6</v>
      </c>
      <c r="E46" s="43" t="s">
        <v>93</v>
      </c>
      <c r="F46" s="41"/>
    </row>
    <row r="47" spans="1:7" ht="34.5" customHeight="1">
      <c r="A47" s="289" t="s">
        <v>76</v>
      </c>
      <c r="B47" s="290"/>
      <c r="C47" s="290"/>
      <c r="D47" s="46">
        <f>SUM(D48:D55)</f>
        <v>11258.247711426819</v>
      </c>
      <c r="E47" s="46">
        <f>SUM(E48:E55)</f>
        <v>2.16172191079624</v>
      </c>
      <c r="F47" s="47"/>
      <c r="G47" s="51"/>
    </row>
    <row r="48" spans="1:7" ht="30">
      <c r="A48" s="52" t="s">
        <v>48</v>
      </c>
      <c r="B48" s="42" t="s">
        <v>57</v>
      </c>
      <c r="C48" s="54" t="s">
        <v>10</v>
      </c>
      <c r="D48" s="55">
        <f aca="true" t="shared" si="0" ref="D48:D55">E48*$D$42*12</f>
        <v>944.2012114117682</v>
      </c>
      <c r="E48" s="55">
        <v>0.1812982356781429</v>
      </c>
      <c r="F48" s="41"/>
      <c r="G48" s="106"/>
    </row>
    <row r="49" spans="1:7" ht="15">
      <c r="A49" s="52" t="s">
        <v>75</v>
      </c>
      <c r="B49" s="42" t="s">
        <v>81</v>
      </c>
      <c r="C49" s="54" t="s">
        <v>10</v>
      </c>
      <c r="D49" s="55">
        <f t="shared" si="0"/>
        <v>293.86446933630873</v>
      </c>
      <c r="E49" s="55">
        <v>0.05642558935028969</v>
      </c>
      <c r="F49" s="41"/>
      <c r="G49" s="106"/>
    </row>
    <row r="50" spans="1:7" ht="15">
      <c r="A50" s="52" t="s">
        <v>74</v>
      </c>
      <c r="B50" s="42" t="s">
        <v>149</v>
      </c>
      <c r="C50" s="54" t="s">
        <v>150</v>
      </c>
      <c r="D50" s="55">
        <f t="shared" si="0"/>
        <v>2615.1580569305784</v>
      </c>
      <c r="E50" s="55">
        <v>0.5021424840496502</v>
      </c>
      <c r="F50" s="41"/>
      <c r="G50" s="106"/>
    </row>
    <row r="51" spans="1:7" ht="30">
      <c r="A51" s="52" t="s">
        <v>130</v>
      </c>
      <c r="B51" s="42" t="s">
        <v>66</v>
      </c>
      <c r="C51" s="56" t="s">
        <v>15</v>
      </c>
      <c r="D51" s="55">
        <f t="shared" si="0"/>
        <v>1099.3671447556621</v>
      </c>
      <c r="E51" s="55">
        <v>0.2110920016811947</v>
      </c>
      <c r="F51" s="41"/>
      <c r="G51" s="106"/>
    </row>
    <row r="52" spans="1:7" ht="60">
      <c r="A52" s="52" t="s">
        <v>59</v>
      </c>
      <c r="B52" s="54" t="s">
        <v>79</v>
      </c>
      <c r="C52" s="54" t="s">
        <v>16</v>
      </c>
      <c r="D52" s="55">
        <f t="shared" si="0"/>
        <v>5863.2914386968605</v>
      </c>
      <c r="E52" s="55">
        <v>1.1258240089663711</v>
      </c>
      <c r="F52" s="41"/>
      <c r="G52" s="106"/>
    </row>
    <row r="53" spans="1:7" ht="15">
      <c r="A53" s="52" t="s">
        <v>95</v>
      </c>
      <c r="B53" s="56" t="s">
        <v>94</v>
      </c>
      <c r="C53" s="56" t="s">
        <v>15</v>
      </c>
      <c r="D53" s="55">
        <f t="shared" si="0"/>
        <v>58.57297093577153</v>
      </c>
      <c r="E53" s="55">
        <v>0.011246730210401599</v>
      </c>
      <c r="F53" s="41"/>
      <c r="G53" s="107"/>
    </row>
    <row r="54" spans="1:7" ht="15">
      <c r="A54" s="52" t="s">
        <v>97</v>
      </c>
      <c r="B54" s="56" t="s">
        <v>96</v>
      </c>
      <c r="C54" s="56" t="s">
        <v>12</v>
      </c>
      <c r="D54" s="55">
        <f t="shared" si="0"/>
        <v>29.007566834400002</v>
      </c>
      <c r="E54" s="55">
        <v>0.0055698093</v>
      </c>
      <c r="F54" s="41"/>
      <c r="G54" s="106"/>
    </row>
    <row r="55" spans="1:7" ht="15">
      <c r="A55" s="52" t="s">
        <v>100</v>
      </c>
      <c r="B55" s="56" t="s">
        <v>98</v>
      </c>
      <c r="C55" s="56" t="s">
        <v>13</v>
      </c>
      <c r="D55" s="55">
        <f t="shared" si="0"/>
        <v>354.7848525254696</v>
      </c>
      <c r="E55" s="55">
        <v>0.06812305156019001</v>
      </c>
      <c r="F55" s="60"/>
      <c r="G55" s="106"/>
    </row>
    <row r="56" spans="1:7" ht="15">
      <c r="A56" s="304" t="s">
        <v>151</v>
      </c>
      <c r="B56" s="305"/>
      <c r="C56" s="305"/>
      <c r="D56" s="46">
        <f>SUM(D57:D58)</f>
        <v>2960.5673646264468</v>
      </c>
      <c r="E56" s="46">
        <f>SUM(E57:E58)</f>
        <v>0.5684653157884882</v>
      </c>
      <c r="F56" s="62"/>
      <c r="G56" s="106"/>
    </row>
    <row r="57" spans="1:7" ht="15">
      <c r="A57" s="52" t="s">
        <v>102</v>
      </c>
      <c r="B57" s="42" t="s">
        <v>26</v>
      </c>
      <c r="C57" s="54" t="s">
        <v>101</v>
      </c>
      <c r="D57" s="55">
        <f>E57*$D$42*12</f>
        <v>2708.6618157607013</v>
      </c>
      <c r="E57" s="55">
        <v>0.5200963547927614</v>
      </c>
      <c r="F57" s="60"/>
      <c r="G57" s="106"/>
    </row>
    <row r="58" spans="1:7" ht="30">
      <c r="A58" s="52" t="s">
        <v>152</v>
      </c>
      <c r="B58" s="56" t="s">
        <v>28</v>
      </c>
      <c r="C58" s="56" t="s">
        <v>103</v>
      </c>
      <c r="D58" s="55">
        <f>E58*$D$42*12</f>
        <v>251.90554886574523</v>
      </c>
      <c r="E58" s="55">
        <v>0.04836896099572681</v>
      </c>
      <c r="F58" s="60"/>
      <c r="G58" s="106"/>
    </row>
    <row r="59" spans="1:6" ht="15">
      <c r="A59" s="291" t="s">
        <v>20</v>
      </c>
      <c r="B59" s="292"/>
      <c r="C59" s="293"/>
      <c r="D59" s="65">
        <f>SUM(D60:D63)</f>
        <v>6302.468885722656</v>
      </c>
      <c r="E59" s="108">
        <f>SUM(E60:E63)</f>
        <v>1.210151475753198</v>
      </c>
      <c r="F59" s="60"/>
    </row>
    <row r="60" spans="1:6" ht="30">
      <c r="A60" s="52" t="s">
        <v>105</v>
      </c>
      <c r="B60" s="56" t="s">
        <v>21</v>
      </c>
      <c r="C60" s="56" t="s">
        <v>13</v>
      </c>
      <c r="D60" s="55">
        <f>E60*12*$D$42</f>
        <v>94.38045990249844</v>
      </c>
      <c r="E60" s="55">
        <v>0.018122208122599546</v>
      </c>
      <c r="F60" s="47"/>
    </row>
    <row r="61" spans="1:6" ht="30">
      <c r="A61" s="52" t="s">
        <v>106</v>
      </c>
      <c r="B61" s="56" t="s">
        <v>22</v>
      </c>
      <c r="C61" s="56" t="s">
        <v>13</v>
      </c>
      <c r="D61" s="55">
        <f>E61*12*$D$42</f>
        <v>911.5455171012067</v>
      </c>
      <c r="E61" s="55">
        <v>0.17502794107166028</v>
      </c>
      <c r="F61" s="67"/>
    </row>
    <row r="62" spans="1:6" ht="30">
      <c r="A62" s="52" t="s">
        <v>107</v>
      </c>
      <c r="B62" s="56" t="s">
        <v>23</v>
      </c>
      <c r="C62" s="56" t="s">
        <v>13</v>
      </c>
      <c r="D62" s="55">
        <f>E62*12*$D$42</f>
        <v>88.68853522368482</v>
      </c>
      <c r="E62" s="55">
        <v>0.017029288637420283</v>
      </c>
      <c r="F62" s="41"/>
    </row>
    <row r="63" spans="1:6" ht="90">
      <c r="A63" s="52" t="s">
        <v>110</v>
      </c>
      <c r="B63" s="56" t="s">
        <v>108</v>
      </c>
      <c r="C63" s="56" t="s">
        <v>13</v>
      </c>
      <c r="D63" s="55">
        <f>E63*12*$D$42</f>
        <v>5207.8543734952655</v>
      </c>
      <c r="E63" s="55">
        <v>0.9999720379215179</v>
      </c>
      <c r="F63" s="41"/>
    </row>
    <row r="64" spans="1:7" ht="15">
      <c r="A64" s="289" t="s">
        <v>109</v>
      </c>
      <c r="B64" s="290"/>
      <c r="C64" s="290"/>
      <c r="D64" s="68">
        <f>SUM(D65:D66)</f>
        <v>8733.84062655151</v>
      </c>
      <c r="E64" s="68">
        <f>SUM(E65:E66)</f>
        <v>1.67700472860052</v>
      </c>
      <c r="F64" s="41"/>
      <c r="G64" s="98"/>
    </row>
    <row r="65" spans="1:7" ht="75">
      <c r="A65" s="69" t="s">
        <v>153</v>
      </c>
      <c r="B65" s="56" t="s">
        <v>88</v>
      </c>
      <c r="C65" s="56" t="s">
        <v>13</v>
      </c>
      <c r="D65" s="55">
        <f>E65*12*$D$42</f>
        <v>612.4935804371262</v>
      </c>
      <c r="E65" s="55">
        <v>0.11760629424676002</v>
      </c>
      <c r="F65" s="41"/>
      <c r="G65" s="109"/>
    </row>
    <row r="66" spans="1:7" ht="105">
      <c r="A66" s="52" t="s">
        <v>154</v>
      </c>
      <c r="B66" s="56" t="s">
        <v>71</v>
      </c>
      <c r="C66" s="56" t="s">
        <v>112</v>
      </c>
      <c r="D66" s="55">
        <f>E66*12*$D$42</f>
        <v>8121.347046114383</v>
      </c>
      <c r="E66" s="64">
        <v>1.5593984343537601</v>
      </c>
      <c r="F66" s="41"/>
      <c r="G66" s="98"/>
    </row>
    <row r="67" spans="1:7" ht="15">
      <c r="A67" s="289" t="s">
        <v>155</v>
      </c>
      <c r="B67" s="289"/>
      <c r="C67" s="289"/>
      <c r="D67" s="70">
        <f>SUM(D68)</f>
        <v>643.1040000000002</v>
      </c>
      <c r="E67" s="70">
        <f>SUM(E68)</f>
        <v>0.12348387096774195</v>
      </c>
      <c r="F67" s="41"/>
      <c r="G67" s="110"/>
    </row>
    <row r="68" spans="1:6" ht="15">
      <c r="A68" s="52" t="s">
        <v>117</v>
      </c>
      <c r="B68" s="56" t="s">
        <v>68</v>
      </c>
      <c r="C68" s="56" t="s">
        <v>115</v>
      </c>
      <c r="D68" s="55">
        <f>E68*12*$D$42</f>
        <v>643.1040000000002</v>
      </c>
      <c r="E68" s="55">
        <v>0.12348387096774195</v>
      </c>
      <c r="F68" s="41"/>
    </row>
    <row r="69" spans="1:6" ht="15">
      <c r="A69" s="289" t="s">
        <v>156</v>
      </c>
      <c r="B69" s="289"/>
      <c r="C69" s="289"/>
      <c r="D69" s="70">
        <f>SUM(D70:D71)</f>
        <v>328.68703228481223</v>
      </c>
      <c r="E69" s="70">
        <f>SUM(E70:E71)</f>
        <v>0.0631119493634432</v>
      </c>
      <c r="F69" s="41"/>
    </row>
    <row r="70" spans="1:7" ht="30">
      <c r="A70" s="52" t="s">
        <v>118</v>
      </c>
      <c r="B70" s="56" t="s">
        <v>32</v>
      </c>
      <c r="C70" s="56" t="s">
        <v>103</v>
      </c>
      <c r="D70" s="55">
        <f>E70*12*$D$42</f>
        <v>230.08092259936626</v>
      </c>
      <c r="E70" s="64">
        <v>0.0441783645544098</v>
      </c>
      <c r="F70" s="41"/>
      <c r="G70" s="111"/>
    </row>
    <row r="71" spans="1:7" ht="45">
      <c r="A71" s="52" t="s">
        <v>157</v>
      </c>
      <c r="B71" s="56" t="s">
        <v>86</v>
      </c>
      <c r="C71" s="56" t="s">
        <v>34</v>
      </c>
      <c r="D71" s="55">
        <f>E71*12*$D$42</f>
        <v>98.60610968544597</v>
      </c>
      <c r="E71" s="55">
        <v>0.018933584809033403</v>
      </c>
      <c r="F71" s="41"/>
      <c r="G71" s="112"/>
    </row>
    <row r="72" spans="1:7" ht="15">
      <c r="A72" s="43"/>
      <c r="B72" s="71" t="s">
        <v>120</v>
      </c>
      <c r="C72" s="71"/>
      <c r="D72" s="72">
        <f>D47+D56+D59+D64+D67+D69</f>
        <v>30226.915620612242</v>
      </c>
      <c r="E72" s="46">
        <f>E47+E56+E59+E64+E67+E69</f>
        <v>5.8039392512696315</v>
      </c>
      <c r="F72" s="39"/>
      <c r="G72" s="111"/>
    </row>
    <row r="73" spans="1:7" ht="15">
      <c r="A73" s="73"/>
      <c r="B73" s="74"/>
      <c r="C73" s="75"/>
      <c r="D73" s="76"/>
      <c r="E73" s="77"/>
      <c r="F73" s="41"/>
      <c r="G73" s="111"/>
    </row>
    <row r="74" spans="1:6" ht="105">
      <c r="A74" s="45" t="s">
        <v>3</v>
      </c>
      <c r="B74" s="45" t="s">
        <v>121</v>
      </c>
      <c r="C74" s="45" t="s">
        <v>122</v>
      </c>
      <c r="D74" s="45" t="s">
        <v>38</v>
      </c>
      <c r="E74" s="45" t="s">
        <v>123</v>
      </c>
      <c r="F74" s="45" t="s">
        <v>40</v>
      </c>
    </row>
    <row r="75" spans="1:6" ht="15">
      <c r="A75" s="45">
        <v>1</v>
      </c>
      <c r="B75" s="42" t="s">
        <v>41</v>
      </c>
      <c r="C75" s="45" t="s">
        <v>158</v>
      </c>
      <c r="D75" s="45">
        <v>11457.6</v>
      </c>
      <c r="E75" s="80">
        <f>D75/12/D42</f>
        <v>2.2</v>
      </c>
      <c r="F75" s="81">
        <v>2</v>
      </c>
    </row>
    <row r="76" spans="1:6" ht="15">
      <c r="A76" s="45"/>
      <c r="B76" s="49" t="s">
        <v>36</v>
      </c>
      <c r="C76" s="44"/>
      <c r="D76" s="99">
        <f>D75</f>
        <v>11457.6</v>
      </c>
      <c r="E76" s="82">
        <f>SUM(E75:E75)</f>
        <v>2.2</v>
      </c>
      <c r="F76" s="83"/>
    </row>
    <row r="77" spans="1:6" ht="15">
      <c r="A77" s="73"/>
      <c r="B77" s="74"/>
      <c r="C77" s="84"/>
      <c r="D77" s="84"/>
      <c r="E77" s="84"/>
      <c r="F77" s="84"/>
    </row>
    <row r="78" spans="1:6" ht="29.25">
      <c r="A78" s="73"/>
      <c r="B78" s="74" t="s">
        <v>125</v>
      </c>
      <c r="C78" s="85">
        <f>D72+D76</f>
        <v>41684.51562061224</v>
      </c>
      <c r="D78" s="85"/>
      <c r="E78" s="85"/>
      <c r="F78" s="84"/>
    </row>
    <row r="79" spans="1:6" ht="15">
      <c r="A79" s="73"/>
      <c r="B79" s="74" t="s">
        <v>126</v>
      </c>
      <c r="C79" s="86">
        <f>E72+E76</f>
        <v>8.003939251269632</v>
      </c>
      <c r="D79" s="84"/>
      <c r="E79" s="84"/>
      <c r="F79" s="84"/>
    </row>
    <row r="80" spans="1:6" ht="15">
      <c r="A80" s="73"/>
      <c r="B80" s="74"/>
      <c r="C80" s="86"/>
      <c r="D80" s="84"/>
      <c r="E80" s="84"/>
      <c r="F80" s="84"/>
    </row>
    <row r="81" spans="1:6" ht="15">
      <c r="A81" s="36"/>
      <c r="B81" s="36"/>
      <c r="C81" s="36"/>
      <c r="D81" s="41"/>
      <c r="E81" s="41"/>
      <c r="F81" s="41"/>
    </row>
    <row r="82" spans="1:6" ht="71.25">
      <c r="A82" s="42"/>
      <c r="B82" s="43" t="s">
        <v>4</v>
      </c>
      <c r="C82" s="43" t="s">
        <v>5</v>
      </c>
      <c r="D82" s="43" t="s">
        <v>6</v>
      </c>
      <c r="E82" s="43" t="s">
        <v>93</v>
      </c>
      <c r="F82" s="41"/>
    </row>
    <row r="83" spans="1:5" ht="15">
      <c r="A83" s="288" t="s">
        <v>47</v>
      </c>
      <c r="B83" s="288"/>
      <c r="C83" s="288"/>
      <c r="D83" s="46">
        <f>D84</f>
        <v>52.08</v>
      </c>
      <c r="E83" s="46">
        <f>E84</f>
        <v>0.01</v>
      </c>
    </row>
    <row r="84" spans="1:5" ht="30">
      <c r="A84" s="52" t="s">
        <v>48</v>
      </c>
      <c r="B84" s="88" t="s">
        <v>51</v>
      </c>
      <c r="C84" s="88" t="s">
        <v>90</v>
      </c>
      <c r="D84" s="55">
        <f>E84*12*D42</f>
        <v>52.08</v>
      </c>
      <c r="E84" s="87">
        <v>0.01</v>
      </c>
    </row>
    <row r="85" spans="1:5" ht="15">
      <c r="A85" s="288" t="s">
        <v>53</v>
      </c>
      <c r="B85" s="288"/>
      <c r="C85" s="288"/>
      <c r="D85" s="46">
        <f>D86+D87</f>
        <v>1249.92</v>
      </c>
      <c r="E85" s="46">
        <f>E86+E87</f>
        <v>0.24</v>
      </c>
    </row>
    <row r="86" spans="1:5" ht="45">
      <c r="A86" s="52" t="s">
        <v>50</v>
      </c>
      <c r="B86" s="88" t="s">
        <v>55</v>
      </c>
      <c r="C86" s="88" t="s">
        <v>127</v>
      </c>
      <c r="D86" s="55">
        <f>E86*D42*12</f>
        <v>104.16</v>
      </c>
      <c r="E86" s="87">
        <v>0.02</v>
      </c>
    </row>
    <row r="87" spans="1:5" ht="30">
      <c r="A87" s="52" t="s">
        <v>54</v>
      </c>
      <c r="B87" s="89" t="s">
        <v>57</v>
      </c>
      <c r="C87" s="89" t="s">
        <v>58</v>
      </c>
      <c r="D87" s="55">
        <f>E87*$D$42*12</f>
        <v>1145.76</v>
      </c>
      <c r="E87" s="87">
        <v>0.22</v>
      </c>
    </row>
    <row r="88" spans="1:6" ht="15">
      <c r="A88" s="43"/>
      <c r="B88" s="71" t="s">
        <v>120</v>
      </c>
      <c r="C88" s="71"/>
      <c r="D88" s="72">
        <f>D83+D85</f>
        <v>1302</v>
      </c>
      <c r="E88" s="46">
        <f>E83+E85</f>
        <v>0.25</v>
      </c>
      <c r="F88" s="39"/>
    </row>
    <row r="89" spans="1:6" ht="15">
      <c r="A89" s="41"/>
      <c r="B89" s="41"/>
      <c r="C89" s="41"/>
      <c r="D89" s="41"/>
      <c r="E89" s="41"/>
      <c r="F89" s="41"/>
    </row>
    <row r="90" spans="1:6" ht="15">
      <c r="A90" s="78"/>
      <c r="B90" s="78"/>
      <c r="C90" s="78"/>
      <c r="D90" s="78"/>
      <c r="E90" s="78"/>
      <c r="F90" s="79"/>
    </row>
    <row r="91" spans="1:6" ht="105">
      <c r="A91" s="45" t="s">
        <v>3</v>
      </c>
      <c r="B91" s="45" t="s">
        <v>121</v>
      </c>
      <c r="C91" s="45" t="s">
        <v>122</v>
      </c>
      <c r="D91" s="45" t="s">
        <v>38</v>
      </c>
      <c r="E91" s="45" t="s">
        <v>123</v>
      </c>
      <c r="F91" s="45" t="s">
        <v>40</v>
      </c>
    </row>
    <row r="92" spans="1:6" ht="15">
      <c r="A92" s="45">
        <v>1</v>
      </c>
      <c r="B92" s="42" t="s">
        <v>41</v>
      </c>
      <c r="C92" s="45" t="s">
        <v>159</v>
      </c>
      <c r="D92" s="90">
        <v>1041.6</v>
      </c>
      <c r="E92" s="91">
        <f>D92/12/$D$42</f>
        <v>0.19999999999999998</v>
      </c>
      <c r="F92" s="81">
        <v>2</v>
      </c>
    </row>
    <row r="93" spans="1:6" ht="15">
      <c r="A93" s="92"/>
      <c r="B93" s="92" t="s">
        <v>36</v>
      </c>
      <c r="C93" s="92"/>
      <c r="D93" s="100">
        <f>D92</f>
        <v>1041.6</v>
      </c>
      <c r="E93" s="100">
        <f>E92</f>
        <v>0.19999999999999998</v>
      </c>
      <c r="F93" s="92"/>
    </row>
    <row r="95" spans="1:6" ht="15">
      <c r="A95" s="41"/>
      <c r="B95" s="36" t="s">
        <v>160</v>
      </c>
      <c r="C95" s="37"/>
      <c r="D95" s="38">
        <v>437.2</v>
      </c>
      <c r="E95" s="39" t="s">
        <v>82</v>
      </c>
      <c r="F95" s="41"/>
    </row>
    <row r="96" spans="1:6" ht="15">
      <c r="A96" s="41"/>
      <c r="B96" s="40"/>
      <c r="C96" s="41"/>
      <c r="D96" s="41"/>
      <c r="E96" s="41"/>
      <c r="F96" s="41"/>
    </row>
    <row r="97" spans="1:6" ht="33" customHeight="1">
      <c r="A97" s="287" t="s">
        <v>62</v>
      </c>
      <c r="B97" s="287"/>
      <c r="C97" s="287"/>
      <c r="D97" s="287"/>
      <c r="E97" s="287"/>
      <c r="F97" s="41"/>
    </row>
    <row r="98" spans="1:6" ht="15">
      <c r="A98" s="36"/>
      <c r="B98" s="36"/>
      <c r="C98" s="36"/>
      <c r="D98" s="36"/>
      <c r="E98" s="36"/>
      <c r="F98" s="41"/>
    </row>
    <row r="99" spans="1:6" ht="71.25">
      <c r="A99" s="42"/>
      <c r="B99" s="43" t="s">
        <v>4</v>
      </c>
      <c r="C99" s="43" t="s">
        <v>5</v>
      </c>
      <c r="D99" s="43" t="s">
        <v>6</v>
      </c>
      <c r="E99" s="43" t="s">
        <v>93</v>
      </c>
      <c r="F99" s="41"/>
    </row>
    <row r="100" spans="1:6" ht="15">
      <c r="A100" s="289" t="s">
        <v>76</v>
      </c>
      <c r="B100" s="290"/>
      <c r="C100" s="290"/>
      <c r="D100" s="46">
        <f>SUM(D101:D108)</f>
        <v>11626.886577240759</v>
      </c>
      <c r="E100" s="46">
        <f>SUM(E101:E108)</f>
        <v>2.216164718138297</v>
      </c>
      <c r="F100" s="47"/>
    </row>
    <row r="101" spans="1:7" ht="30">
      <c r="A101" s="52" t="s">
        <v>48</v>
      </c>
      <c r="B101" s="42" t="s">
        <v>57</v>
      </c>
      <c r="C101" s="54" t="s">
        <v>10</v>
      </c>
      <c r="D101" s="55">
        <f aca="true" t="shared" si="1" ref="D101:D108">E101*$D$95*12</f>
        <v>1059.5943668372606</v>
      </c>
      <c r="E101" s="55">
        <v>0.20196598940935892</v>
      </c>
      <c r="F101" s="41"/>
      <c r="G101" s="106"/>
    </row>
    <row r="102" spans="1:7" ht="15">
      <c r="A102" s="52" t="s">
        <v>75</v>
      </c>
      <c r="B102" s="42" t="s">
        <v>81</v>
      </c>
      <c r="C102" s="54" t="s">
        <v>10</v>
      </c>
      <c r="D102" s="55">
        <f t="shared" si="1"/>
        <v>587.7289386726173</v>
      </c>
      <c r="E102" s="55">
        <v>0.11202518654174622</v>
      </c>
      <c r="F102" s="41"/>
      <c r="G102" s="113"/>
    </row>
    <row r="103" spans="1:7" ht="15">
      <c r="A103" s="52" t="s">
        <v>74</v>
      </c>
      <c r="B103" s="42" t="s">
        <v>149</v>
      </c>
      <c r="C103" s="54" t="s">
        <v>150</v>
      </c>
      <c r="D103" s="55">
        <f t="shared" si="1"/>
        <v>1304.3182328830812</v>
      </c>
      <c r="E103" s="55">
        <v>0.24861204499906245</v>
      </c>
      <c r="F103" s="41"/>
      <c r="G103" s="106"/>
    </row>
    <row r="104" spans="1:7" ht="30">
      <c r="A104" s="52" t="s">
        <v>130</v>
      </c>
      <c r="B104" s="42" t="s">
        <v>66</v>
      </c>
      <c r="C104" s="56" t="s">
        <v>15</v>
      </c>
      <c r="D104" s="55">
        <f t="shared" si="1"/>
        <v>1300.91778796009</v>
      </c>
      <c r="E104" s="55">
        <v>0.24796389675970001</v>
      </c>
      <c r="F104" s="41"/>
      <c r="G104" s="114"/>
    </row>
    <row r="105" spans="1:7" ht="60">
      <c r="A105" s="52" t="s">
        <v>59</v>
      </c>
      <c r="B105" s="54" t="s">
        <v>79</v>
      </c>
      <c r="C105" s="54" t="s">
        <v>16</v>
      </c>
      <c r="D105" s="55">
        <f t="shared" si="1"/>
        <v>6938.228202455737</v>
      </c>
      <c r="E105" s="55">
        <v>1.3224741160521</v>
      </c>
      <c r="F105" s="41"/>
      <c r="G105" s="114"/>
    </row>
    <row r="106" spans="1:7" ht="15">
      <c r="A106" s="52" t="s">
        <v>95</v>
      </c>
      <c r="B106" s="56" t="s">
        <v>94</v>
      </c>
      <c r="C106" s="56" t="s">
        <v>15</v>
      </c>
      <c r="D106" s="55">
        <f t="shared" si="1"/>
        <v>43.63625126034064</v>
      </c>
      <c r="E106" s="55">
        <v>0.008317370246329035</v>
      </c>
      <c r="F106" s="41"/>
      <c r="G106" s="51"/>
    </row>
    <row r="107" spans="1:7" ht="15">
      <c r="A107" s="52" t="s">
        <v>97</v>
      </c>
      <c r="B107" s="56" t="s">
        <v>96</v>
      </c>
      <c r="C107" s="56" t="s">
        <v>12</v>
      </c>
      <c r="D107" s="55">
        <f t="shared" si="1"/>
        <v>79.32074646081696</v>
      </c>
      <c r="E107" s="55">
        <v>0.015119080981400001</v>
      </c>
      <c r="F107" s="41"/>
      <c r="G107" s="59"/>
    </row>
    <row r="108" spans="1:7" ht="15">
      <c r="A108" s="52" t="s">
        <v>100</v>
      </c>
      <c r="B108" s="56" t="s">
        <v>98</v>
      </c>
      <c r="C108" s="56" t="s">
        <v>13</v>
      </c>
      <c r="D108" s="55">
        <f t="shared" si="1"/>
        <v>313.14205071081506</v>
      </c>
      <c r="E108" s="55">
        <v>0.0596870331486</v>
      </c>
      <c r="F108" s="60"/>
      <c r="G108" s="106"/>
    </row>
    <row r="109" spans="1:7" ht="15">
      <c r="A109" s="304" t="s">
        <v>151</v>
      </c>
      <c r="B109" s="305"/>
      <c r="C109" s="305"/>
      <c r="D109" s="46">
        <f>SUM(D110:D111)</f>
        <v>3700.7092057827285</v>
      </c>
      <c r="E109" s="46">
        <f>SUM(E110:E111)</f>
        <v>0.7053806811876198</v>
      </c>
      <c r="F109" s="62"/>
      <c r="G109" s="95"/>
    </row>
    <row r="110" spans="1:6" ht="15">
      <c r="A110" s="52" t="s">
        <v>102</v>
      </c>
      <c r="B110" s="42" t="s">
        <v>26</v>
      </c>
      <c r="C110" s="54" t="s">
        <v>101</v>
      </c>
      <c r="D110" s="55">
        <f>E110*$D$95*12</f>
        <v>3385.827269700878</v>
      </c>
      <c r="E110" s="64">
        <v>0.6453620138954098</v>
      </c>
      <c r="F110" s="60"/>
    </row>
    <row r="111" spans="1:6" ht="30">
      <c r="A111" s="52" t="s">
        <v>152</v>
      </c>
      <c r="B111" s="56" t="s">
        <v>28</v>
      </c>
      <c r="C111" s="56" t="s">
        <v>103</v>
      </c>
      <c r="D111" s="55">
        <f>E111*$D$95*12</f>
        <v>314.88193608185054</v>
      </c>
      <c r="E111" s="55">
        <v>0.060018667292210004</v>
      </c>
      <c r="F111" s="60"/>
    </row>
    <row r="112" spans="1:6" ht="15">
      <c r="A112" s="291" t="s">
        <v>20</v>
      </c>
      <c r="B112" s="292"/>
      <c r="C112" s="293"/>
      <c r="D112" s="65">
        <f>SUM(D113:D116)</f>
        <v>2029.033867814323</v>
      </c>
      <c r="E112" s="65">
        <f>SUM(E113:E116)</f>
        <v>0.3867478400073046</v>
      </c>
      <c r="F112" s="60"/>
    </row>
    <row r="113" spans="1:6" ht="30">
      <c r="A113" s="52" t="s">
        <v>105</v>
      </c>
      <c r="B113" s="56" t="s">
        <v>21</v>
      </c>
      <c r="C113" s="56" t="s">
        <v>13</v>
      </c>
      <c r="D113" s="55">
        <f>E113*12*$D$95</f>
        <v>188.7609198049969</v>
      </c>
      <c r="E113" s="55">
        <v>0.03597913232025711</v>
      </c>
      <c r="F113" s="47"/>
    </row>
    <row r="114" spans="1:6" ht="30">
      <c r="A114" s="52" t="s">
        <v>106</v>
      </c>
      <c r="B114" s="56" t="s">
        <v>22</v>
      </c>
      <c r="C114" s="56" t="s">
        <v>13</v>
      </c>
      <c r="D114" s="55">
        <f>E114*12*$D$95</f>
        <v>1416.9890631692526</v>
      </c>
      <c r="E114" s="55">
        <v>0.2700878818178661</v>
      </c>
      <c r="F114" s="67"/>
    </row>
    <row r="115" spans="1:6" ht="30">
      <c r="A115" s="52" t="s">
        <v>107</v>
      </c>
      <c r="B115" s="56" t="s">
        <v>23</v>
      </c>
      <c r="C115" s="56" t="s">
        <v>13</v>
      </c>
      <c r="D115" s="55">
        <f>E115*12*$D$95</f>
        <v>360.19643025501045</v>
      </c>
      <c r="E115" s="55">
        <v>0.06865592220475192</v>
      </c>
      <c r="F115" s="41"/>
    </row>
    <row r="116" spans="1:6" ht="90">
      <c r="A116" s="52" t="s">
        <v>110</v>
      </c>
      <c r="B116" s="56" t="s">
        <v>108</v>
      </c>
      <c r="C116" s="56" t="s">
        <v>13</v>
      </c>
      <c r="D116" s="55">
        <f>E116*12*$D$95</f>
        <v>63.087454585062886</v>
      </c>
      <c r="E116" s="55">
        <v>0.012024903664429492</v>
      </c>
      <c r="F116" s="41"/>
    </row>
    <row r="117" spans="1:7" ht="15">
      <c r="A117" s="289" t="s">
        <v>109</v>
      </c>
      <c r="B117" s="290"/>
      <c r="C117" s="290"/>
      <c r="D117" s="68">
        <f>SUM(D118:D119)</f>
        <v>7759.185084603395</v>
      </c>
      <c r="E117" s="68">
        <f>SUM(E118:E119)</f>
        <v>1.4789541561076922</v>
      </c>
      <c r="F117" s="41"/>
      <c r="G117" s="105"/>
    </row>
    <row r="118" spans="1:7" ht="75">
      <c r="A118" s="69" t="s">
        <v>153</v>
      </c>
      <c r="B118" s="56" t="s">
        <v>88</v>
      </c>
      <c r="C118" s="56" t="s">
        <v>13</v>
      </c>
      <c r="D118" s="55">
        <f>E118*12*$D$95</f>
        <v>465.9652589873462</v>
      </c>
      <c r="E118" s="55">
        <v>0.088816189956417</v>
      </c>
      <c r="F118" s="41"/>
      <c r="G118" s="116"/>
    </row>
    <row r="119" spans="1:6" ht="105">
      <c r="A119" s="52" t="s">
        <v>154</v>
      </c>
      <c r="B119" s="56" t="s">
        <v>71</v>
      </c>
      <c r="C119" s="56" t="s">
        <v>112</v>
      </c>
      <c r="D119" s="55">
        <f>E119*12*$D$95</f>
        <v>7293.219825616049</v>
      </c>
      <c r="E119" s="64">
        <v>1.3901379661512752</v>
      </c>
      <c r="F119" s="41"/>
    </row>
    <row r="120" spans="1:6" ht="15">
      <c r="A120" s="289" t="s">
        <v>155</v>
      </c>
      <c r="B120" s="289"/>
      <c r="C120" s="289"/>
      <c r="D120" s="70">
        <f>SUM(D121)</f>
        <v>643.1040000000002</v>
      </c>
      <c r="E120" s="70">
        <f>SUM(E121)</f>
        <v>0.12258005489478502</v>
      </c>
      <c r="F120" s="41"/>
    </row>
    <row r="121" spans="1:6" ht="15">
      <c r="A121" s="52" t="s">
        <v>117</v>
      </c>
      <c r="B121" s="56" t="s">
        <v>68</v>
      </c>
      <c r="C121" s="56" t="s">
        <v>115</v>
      </c>
      <c r="D121" s="55">
        <f>E121*12*$D$95</f>
        <v>643.1040000000002</v>
      </c>
      <c r="E121" s="64">
        <v>0.12258005489478502</v>
      </c>
      <c r="F121" s="41"/>
    </row>
    <row r="122" spans="1:6" ht="15">
      <c r="A122" s="289" t="s">
        <v>156</v>
      </c>
      <c r="B122" s="289"/>
      <c r="C122" s="289"/>
      <c r="D122" s="70">
        <f>SUM(D123:D124)</f>
        <v>280.4979751380893</v>
      </c>
      <c r="E122" s="70">
        <f>SUM(E123:E124)</f>
        <v>0.053464847350200004</v>
      </c>
      <c r="F122" s="41"/>
    </row>
    <row r="123" spans="1:7" ht="30">
      <c r="A123" s="52" t="s">
        <v>118</v>
      </c>
      <c r="B123" s="56" t="s">
        <v>32</v>
      </c>
      <c r="C123" s="56" t="s">
        <v>103</v>
      </c>
      <c r="D123" s="55">
        <f>E123*12*$D$95</f>
        <v>196.3485826232093</v>
      </c>
      <c r="E123" s="64">
        <v>0.037425393150200006</v>
      </c>
      <c r="F123" s="41"/>
      <c r="G123" s="97"/>
    </row>
    <row r="124" spans="1:7" ht="45">
      <c r="A124" s="52" t="s">
        <v>157</v>
      </c>
      <c r="B124" s="56" t="s">
        <v>86</v>
      </c>
      <c r="C124" s="56" t="s">
        <v>34</v>
      </c>
      <c r="D124" s="55">
        <f>E124*12*$D$95</f>
        <v>84.14939251488</v>
      </c>
      <c r="E124" s="55">
        <v>0.0160394542</v>
      </c>
      <c r="F124" s="41"/>
      <c r="G124" s="98"/>
    </row>
    <row r="125" spans="1:7" ht="15">
      <c r="A125" s="43"/>
      <c r="B125" s="71" t="s">
        <v>120</v>
      </c>
      <c r="C125" s="71"/>
      <c r="D125" s="72">
        <f>D100+D109+D112+D117+D120+D122</f>
        <v>26039.416710579295</v>
      </c>
      <c r="E125" s="46">
        <f>E100+E109+E112+E117+E120+E122</f>
        <v>4.963292297685898</v>
      </c>
      <c r="F125" s="39"/>
      <c r="G125" s="98"/>
    </row>
    <row r="126" spans="1:6" ht="15">
      <c r="A126" s="73"/>
      <c r="B126" s="74"/>
      <c r="C126" s="75"/>
      <c r="D126" s="76"/>
      <c r="E126" s="77"/>
      <c r="F126" s="41"/>
    </row>
    <row r="127" spans="1:6" ht="105">
      <c r="A127" s="45" t="s">
        <v>3</v>
      </c>
      <c r="B127" s="45" t="s">
        <v>121</v>
      </c>
      <c r="C127" s="45" t="s">
        <v>122</v>
      </c>
      <c r="D127" s="45" t="s">
        <v>38</v>
      </c>
      <c r="E127" s="45" t="s">
        <v>123</v>
      </c>
      <c r="F127" s="45" t="s">
        <v>40</v>
      </c>
    </row>
    <row r="128" spans="1:6" ht="15">
      <c r="A128" s="45">
        <v>1</v>
      </c>
      <c r="B128" s="42" t="s">
        <v>41</v>
      </c>
      <c r="C128" s="45" t="s">
        <v>161</v>
      </c>
      <c r="D128" s="45">
        <v>11542.08</v>
      </c>
      <c r="E128" s="80">
        <f>D128/12/D95</f>
        <v>2.2</v>
      </c>
      <c r="F128" s="81">
        <v>2</v>
      </c>
    </row>
    <row r="129" spans="1:6" ht="15">
      <c r="A129" s="45"/>
      <c r="B129" s="49" t="s">
        <v>36</v>
      </c>
      <c r="C129" s="44"/>
      <c r="D129" s="99">
        <f>D128</f>
        <v>11542.08</v>
      </c>
      <c r="E129" s="82">
        <f>SUM(E128:E128)</f>
        <v>2.2</v>
      </c>
      <c r="F129" s="83"/>
    </row>
    <row r="130" spans="1:6" ht="15">
      <c r="A130" s="73"/>
      <c r="B130" s="74"/>
      <c r="C130" s="84"/>
      <c r="D130" s="84"/>
      <c r="E130" s="84"/>
      <c r="F130" s="84"/>
    </row>
    <row r="131" spans="1:6" ht="29.25">
      <c r="A131" s="73"/>
      <c r="B131" s="74" t="s">
        <v>125</v>
      </c>
      <c r="C131" s="85">
        <f>D125+D129</f>
        <v>37581.4967105793</v>
      </c>
      <c r="D131" s="85"/>
      <c r="E131" s="85"/>
      <c r="F131" s="84"/>
    </row>
    <row r="132" spans="1:6" ht="15">
      <c r="A132" s="73"/>
      <c r="B132" s="74" t="s">
        <v>126</v>
      </c>
      <c r="C132" s="86">
        <f>E125+E129</f>
        <v>7.163292297685898</v>
      </c>
      <c r="D132" s="84"/>
      <c r="E132" s="84"/>
      <c r="F132" s="84"/>
    </row>
    <row r="133" spans="1:6" ht="15">
      <c r="A133" s="73"/>
      <c r="B133" s="74"/>
      <c r="C133" s="86"/>
      <c r="D133" s="84"/>
      <c r="E133" s="84"/>
      <c r="F133" s="84"/>
    </row>
    <row r="134" spans="1:6" ht="15">
      <c r="A134" s="41"/>
      <c r="B134" s="41"/>
      <c r="C134" s="41"/>
      <c r="D134" s="41"/>
      <c r="E134" s="41"/>
      <c r="F134" s="41"/>
    </row>
    <row r="135" spans="1:6" ht="44.25" customHeight="1">
      <c r="A135" s="287" t="s">
        <v>44</v>
      </c>
      <c r="B135" s="287"/>
      <c r="C135" s="287"/>
      <c r="D135" s="287"/>
      <c r="E135" s="287"/>
      <c r="F135" s="287"/>
    </row>
    <row r="136" spans="1:6" ht="15">
      <c r="A136" s="36"/>
      <c r="B136" s="36"/>
      <c r="C136" s="36"/>
      <c r="D136" s="41"/>
      <c r="E136" s="41"/>
      <c r="F136" s="41"/>
    </row>
    <row r="137" spans="1:6" ht="71.25">
      <c r="A137" s="42"/>
      <c r="B137" s="43" t="s">
        <v>4</v>
      </c>
      <c r="C137" s="43" t="s">
        <v>5</v>
      </c>
      <c r="D137" s="43" t="s">
        <v>6</v>
      </c>
      <c r="E137" s="43" t="s">
        <v>93</v>
      </c>
      <c r="F137" s="41"/>
    </row>
    <row r="138" spans="1:5" ht="32.25" customHeight="1">
      <c r="A138" s="288" t="s">
        <v>47</v>
      </c>
      <c r="B138" s="288"/>
      <c r="C138" s="288"/>
      <c r="D138" s="46">
        <f>D139</f>
        <v>52.464</v>
      </c>
      <c r="E138" s="46">
        <f>E139</f>
        <v>0.01</v>
      </c>
    </row>
    <row r="139" spans="1:5" ht="30">
      <c r="A139" s="52" t="s">
        <v>48</v>
      </c>
      <c r="B139" s="88" t="s">
        <v>51</v>
      </c>
      <c r="C139" s="88" t="s">
        <v>12</v>
      </c>
      <c r="D139" s="55">
        <f>E139*12*D95</f>
        <v>52.464</v>
      </c>
      <c r="E139" s="87">
        <v>0.01</v>
      </c>
    </row>
    <row r="140" spans="1:5" ht="30.75" customHeight="1">
      <c r="A140" s="288" t="s">
        <v>53</v>
      </c>
      <c r="B140" s="288"/>
      <c r="C140" s="288"/>
      <c r="D140" s="46">
        <f>D141+D142</f>
        <v>1259.136</v>
      </c>
      <c r="E140" s="46">
        <f>E141+E142</f>
        <v>0.24</v>
      </c>
    </row>
    <row r="141" spans="1:5" ht="45">
      <c r="A141" s="52" t="s">
        <v>54</v>
      </c>
      <c r="B141" s="88" t="s">
        <v>55</v>
      </c>
      <c r="C141" s="88" t="s">
        <v>127</v>
      </c>
      <c r="D141" s="55">
        <f>E141*D95*12</f>
        <v>104.928</v>
      </c>
      <c r="E141" s="87">
        <v>0.02</v>
      </c>
    </row>
    <row r="142" spans="1:5" ht="30">
      <c r="A142" s="52" t="s">
        <v>56</v>
      </c>
      <c r="B142" s="89" t="s">
        <v>57</v>
      </c>
      <c r="C142" s="89" t="s">
        <v>58</v>
      </c>
      <c r="D142" s="55">
        <f>E142*$D$95*12</f>
        <v>1154.208</v>
      </c>
      <c r="E142" s="87">
        <v>0.22</v>
      </c>
    </row>
    <row r="143" spans="1:6" ht="15">
      <c r="A143" s="43"/>
      <c r="B143" s="71" t="s">
        <v>120</v>
      </c>
      <c r="C143" s="71"/>
      <c r="D143" s="72">
        <f>D138+D140</f>
        <v>1311.6</v>
      </c>
      <c r="E143" s="46">
        <f>E138+E140</f>
        <v>0.25</v>
      </c>
      <c r="F143" s="39"/>
    </row>
    <row r="144" spans="1:6" ht="15">
      <c r="A144" s="41"/>
      <c r="B144" s="41"/>
      <c r="C144" s="41"/>
      <c r="D144" s="41"/>
      <c r="E144" s="41"/>
      <c r="F144" s="41"/>
    </row>
    <row r="145" spans="1:6" ht="15">
      <c r="A145" s="78"/>
      <c r="B145" s="78"/>
      <c r="C145" s="78"/>
      <c r="D145" s="78"/>
      <c r="E145" s="78"/>
      <c r="F145" s="79"/>
    </row>
    <row r="146" spans="1:6" ht="105">
      <c r="A146" s="45" t="s">
        <v>3</v>
      </c>
      <c r="B146" s="45" t="s">
        <v>121</v>
      </c>
      <c r="C146" s="45" t="s">
        <v>122</v>
      </c>
      <c r="D146" s="45" t="s">
        <v>38</v>
      </c>
      <c r="E146" s="45" t="s">
        <v>123</v>
      </c>
      <c r="F146" s="45" t="s">
        <v>40</v>
      </c>
    </row>
    <row r="147" spans="1:6" ht="15">
      <c r="A147" s="45">
        <v>1</v>
      </c>
      <c r="B147" s="42" t="s">
        <v>41</v>
      </c>
      <c r="C147" s="45" t="s">
        <v>162</v>
      </c>
      <c r="D147" s="117">
        <v>1049.28</v>
      </c>
      <c r="E147" s="91">
        <f>D147/12/$D$95</f>
        <v>0.2</v>
      </c>
      <c r="F147" s="81">
        <v>2</v>
      </c>
    </row>
    <row r="148" spans="1:6" ht="15">
      <c r="A148" s="92"/>
      <c r="B148" s="92" t="s">
        <v>36</v>
      </c>
      <c r="C148" s="92"/>
      <c r="D148" s="100">
        <f>D147</f>
        <v>1049.28</v>
      </c>
      <c r="E148" s="100">
        <f>E147</f>
        <v>0.2</v>
      </c>
      <c r="F148" s="92"/>
    </row>
    <row r="149" ht="122.25" customHeight="1"/>
    <row r="150" spans="1:6" ht="15">
      <c r="A150" s="41"/>
      <c r="B150" s="36" t="s">
        <v>163</v>
      </c>
      <c r="C150" s="37"/>
      <c r="D150" s="38">
        <v>407.1</v>
      </c>
      <c r="E150" s="39" t="s">
        <v>82</v>
      </c>
      <c r="F150" s="41"/>
    </row>
    <row r="151" spans="1:6" ht="15">
      <c r="A151" s="41"/>
      <c r="B151" s="40"/>
      <c r="C151" s="41"/>
      <c r="D151" s="41"/>
      <c r="E151" s="41"/>
      <c r="F151" s="41"/>
    </row>
    <row r="152" spans="1:6" ht="48.75" customHeight="1">
      <c r="A152" s="287" t="s">
        <v>62</v>
      </c>
      <c r="B152" s="287"/>
      <c r="C152" s="287"/>
      <c r="D152" s="287"/>
      <c r="E152" s="287"/>
      <c r="F152" s="41"/>
    </row>
    <row r="153" spans="1:6" ht="15">
      <c r="A153" s="36"/>
      <c r="B153" s="36"/>
      <c r="C153" s="36"/>
      <c r="D153" s="36"/>
      <c r="E153" s="36"/>
      <c r="F153" s="41"/>
    </row>
    <row r="154" spans="1:6" ht="71.25">
      <c r="A154" s="42"/>
      <c r="B154" s="43" t="s">
        <v>4</v>
      </c>
      <c r="C154" s="43" t="s">
        <v>5</v>
      </c>
      <c r="D154" s="43" t="s">
        <v>6</v>
      </c>
      <c r="E154" s="43" t="s">
        <v>93</v>
      </c>
      <c r="F154" s="41"/>
    </row>
    <row r="155" spans="1:6" ht="15">
      <c r="A155" s="289" t="s">
        <v>76</v>
      </c>
      <c r="B155" s="290"/>
      <c r="C155" s="290"/>
      <c r="D155" s="46">
        <f>SUM(D156:D163)</f>
        <v>10635.151340370596</v>
      </c>
      <c r="E155" s="46">
        <f>SUM(E156:E163)</f>
        <v>2.177014521487471</v>
      </c>
      <c r="F155" s="47"/>
    </row>
    <row r="156" spans="1:7" ht="30">
      <c r="A156" s="52" t="s">
        <v>48</v>
      </c>
      <c r="B156" s="42" t="s">
        <v>57</v>
      </c>
      <c r="C156" s="54" t="s">
        <v>10</v>
      </c>
      <c r="D156" s="55">
        <f aca="true" t="shared" si="2" ref="D156:D163">E156*$D$150*12</f>
        <v>749.6934169998387</v>
      </c>
      <c r="E156" s="55">
        <v>0.15346217493651002</v>
      </c>
      <c r="F156" s="41"/>
      <c r="G156" s="106"/>
    </row>
    <row r="157" spans="1:7" ht="15">
      <c r="A157" s="52" t="s">
        <v>75</v>
      </c>
      <c r="B157" s="42" t="s">
        <v>81</v>
      </c>
      <c r="C157" s="54" t="s">
        <v>10</v>
      </c>
      <c r="D157" s="55">
        <f t="shared" si="2"/>
        <v>685.6837617847204</v>
      </c>
      <c r="E157" s="55">
        <v>0.14035940427919438</v>
      </c>
      <c r="F157" s="41"/>
      <c r="G157" s="115"/>
    </row>
    <row r="158" spans="1:7" ht="15">
      <c r="A158" s="52" t="s">
        <v>74</v>
      </c>
      <c r="B158" s="42" t="s">
        <v>149</v>
      </c>
      <c r="C158" s="54" t="s">
        <v>150</v>
      </c>
      <c r="D158" s="55">
        <f t="shared" si="2"/>
        <v>2739.068289054471</v>
      </c>
      <c r="E158" s="55">
        <v>0.5606870320671561</v>
      </c>
      <c r="F158" s="41"/>
      <c r="G158" s="106"/>
    </row>
    <row r="159" spans="1:7" ht="30">
      <c r="A159" s="52" t="s">
        <v>130</v>
      </c>
      <c r="B159" s="42" t="s">
        <v>66</v>
      </c>
      <c r="C159" s="56" t="s">
        <v>15</v>
      </c>
      <c r="D159" s="55">
        <f t="shared" si="2"/>
        <v>934.4620730423204</v>
      </c>
      <c r="E159" s="55">
        <v>0.19128430218667003</v>
      </c>
      <c r="F159" s="41"/>
      <c r="G159" s="106"/>
    </row>
    <row r="160" spans="1:7" ht="60">
      <c r="A160" s="52" t="s">
        <v>59</v>
      </c>
      <c r="B160" s="54" t="s">
        <v>79</v>
      </c>
      <c r="C160" s="54" t="s">
        <v>16</v>
      </c>
      <c r="D160" s="55">
        <f t="shared" si="2"/>
        <v>4983.797881980998</v>
      </c>
      <c r="E160" s="55">
        <v>1.020182977561</v>
      </c>
      <c r="F160" s="41"/>
      <c r="G160" s="118"/>
    </row>
    <row r="161" spans="1:7" ht="15">
      <c r="A161" s="52" t="s">
        <v>95</v>
      </c>
      <c r="B161" s="56" t="s">
        <v>94</v>
      </c>
      <c r="C161" s="56" t="s">
        <v>15</v>
      </c>
      <c r="D161" s="55">
        <f t="shared" si="2"/>
        <v>43.17168350615539</v>
      </c>
      <c r="E161" s="55">
        <v>0.008837239725324528</v>
      </c>
      <c r="F161" s="41"/>
      <c r="G161" s="106"/>
    </row>
    <row r="162" spans="1:7" ht="15">
      <c r="A162" s="52" t="s">
        <v>97</v>
      </c>
      <c r="B162" s="56" t="s">
        <v>96</v>
      </c>
      <c r="C162" s="56" t="s">
        <v>12</v>
      </c>
      <c r="D162" s="55">
        <f t="shared" si="2"/>
        <v>67.99070820518034</v>
      </c>
      <c r="E162" s="55">
        <v>0.013917691845816002</v>
      </c>
      <c r="F162" s="41"/>
      <c r="G162" s="106"/>
    </row>
    <row r="163" spans="1:7" ht="15">
      <c r="A163" s="52" t="s">
        <v>100</v>
      </c>
      <c r="B163" s="56" t="s">
        <v>98</v>
      </c>
      <c r="C163" s="56" t="s">
        <v>13</v>
      </c>
      <c r="D163" s="55">
        <f t="shared" si="2"/>
        <v>431.2835257969102</v>
      </c>
      <c r="E163" s="55">
        <v>0.08828369888580001</v>
      </c>
      <c r="F163" s="60"/>
      <c r="G163" s="106"/>
    </row>
    <row r="164" spans="1:7" ht="15">
      <c r="A164" s="304" t="s">
        <v>99</v>
      </c>
      <c r="B164" s="305"/>
      <c r="C164" s="305"/>
      <c r="D164" s="46">
        <f>SUM(D165:D166)</f>
        <v>2812.538996394694</v>
      </c>
      <c r="E164" s="46">
        <f>SUM(E165:E166)</f>
        <v>0.575726479242343</v>
      </c>
      <c r="F164" s="62"/>
      <c r="G164" s="119"/>
    </row>
    <row r="165" spans="1:6" ht="15">
      <c r="A165" s="52" t="s">
        <v>102</v>
      </c>
      <c r="B165" s="42" t="s">
        <v>26</v>
      </c>
      <c r="C165" s="54" t="s">
        <v>101</v>
      </c>
      <c r="D165" s="55">
        <f>E165*$D$150*12</f>
        <v>2573.2287249726714</v>
      </c>
      <c r="E165" s="64">
        <v>0.526739688236443</v>
      </c>
      <c r="F165" s="60"/>
    </row>
    <row r="166" spans="1:6" ht="30">
      <c r="A166" s="52" t="s">
        <v>152</v>
      </c>
      <c r="B166" s="56" t="s">
        <v>28</v>
      </c>
      <c r="C166" s="56" t="s">
        <v>103</v>
      </c>
      <c r="D166" s="55">
        <f>E166*$D$150*12</f>
        <v>239.3102714220227</v>
      </c>
      <c r="E166" s="55">
        <v>0.048986791005900004</v>
      </c>
      <c r="F166" s="60"/>
    </row>
    <row r="167" spans="1:6" ht="15">
      <c r="A167" s="291" t="s">
        <v>20</v>
      </c>
      <c r="B167" s="292"/>
      <c r="C167" s="293"/>
      <c r="D167" s="65">
        <f>SUM(D168:D171)</f>
        <v>1934.6534079118246</v>
      </c>
      <c r="E167" s="65">
        <f>SUM(E168:E171)</f>
        <v>0.396023378349264</v>
      </c>
      <c r="F167" s="60"/>
    </row>
    <row r="168" spans="1:6" ht="30">
      <c r="A168" s="52" t="s">
        <v>105</v>
      </c>
      <c r="B168" s="56" t="s">
        <v>21</v>
      </c>
      <c r="C168" s="56" t="s">
        <v>13</v>
      </c>
      <c r="D168" s="55">
        <f>E168*12*$D$150</f>
        <v>94.38045990249843</v>
      </c>
      <c r="E168" s="55">
        <v>0.019319671641385906</v>
      </c>
      <c r="F168" s="47"/>
    </row>
    <row r="169" spans="1:6" ht="30">
      <c r="A169" s="52" t="s">
        <v>106</v>
      </c>
      <c r="B169" s="56" t="s">
        <v>22</v>
      </c>
      <c r="C169" s="56" t="s">
        <v>13</v>
      </c>
      <c r="D169" s="55">
        <f>E169*12*$D$150</f>
        <v>1416.9890631692529</v>
      </c>
      <c r="E169" s="55">
        <v>0.29005753360543124</v>
      </c>
      <c r="F169" s="67"/>
    </row>
    <row r="170" spans="1:6" ht="30">
      <c r="A170" s="52" t="s">
        <v>107</v>
      </c>
      <c r="B170" s="56" t="s">
        <v>23</v>
      </c>
      <c r="C170" s="56" t="s">
        <v>13</v>
      </c>
      <c r="D170" s="55">
        <f>E170*12*$D$150</f>
        <v>360.19643025501045</v>
      </c>
      <c r="E170" s="55">
        <v>0.07373217683104283</v>
      </c>
      <c r="F170" s="41"/>
    </row>
    <row r="171" spans="1:6" ht="90">
      <c r="A171" s="52" t="s">
        <v>110</v>
      </c>
      <c r="B171" s="56" t="s">
        <v>108</v>
      </c>
      <c r="C171" s="56" t="s">
        <v>13</v>
      </c>
      <c r="D171" s="55">
        <f>E171*12*$D$150</f>
        <v>63.08745458506289</v>
      </c>
      <c r="E171" s="55">
        <v>0.012913996271404014</v>
      </c>
      <c r="F171" s="41"/>
    </row>
    <row r="172" spans="1:7" ht="15">
      <c r="A172" s="289" t="s">
        <v>109</v>
      </c>
      <c r="B172" s="290"/>
      <c r="C172" s="290"/>
      <c r="D172" s="68">
        <f>SUM(D173:D174)</f>
        <v>7511.353757745334</v>
      </c>
      <c r="E172" s="68">
        <f>SUM(E173:E174)</f>
        <v>1.5375734376781571</v>
      </c>
      <c r="F172" s="41"/>
      <c r="G172" s="98"/>
    </row>
    <row r="173" spans="1:7" ht="75">
      <c r="A173" s="69" t="s">
        <v>153</v>
      </c>
      <c r="B173" s="56" t="s">
        <v>88</v>
      </c>
      <c r="C173" s="56" t="s">
        <v>13</v>
      </c>
      <c r="D173" s="55">
        <f>E173*12*$D$150</f>
        <v>402.75278843132486</v>
      </c>
      <c r="E173" s="55">
        <v>0.08244345951677001</v>
      </c>
      <c r="F173" s="98"/>
      <c r="G173" s="98"/>
    </row>
    <row r="174" spans="1:7" ht="105">
      <c r="A174" s="52" t="s">
        <v>154</v>
      </c>
      <c r="B174" s="56" t="s">
        <v>71</v>
      </c>
      <c r="C174" s="56" t="s">
        <v>112</v>
      </c>
      <c r="D174" s="55">
        <f>E174*12*$D$150</f>
        <v>7108.6009693140095</v>
      </c>
      <c r="E174" s="64">
        <v>1.4551299781613871</v>
      </c>
      <c r="F174" s="73"/>
      <c r="G174" s="96"/>
    </row>
    <row r="175" spans="1:6" ht="21.75" customHeight="1">
      <c r="A175" s="289" t="s">
        <v>155</v>
      </c>
      <c r="B175" s="289"/>
      <c r="C175" s="289"/>
      <c r="D175" s="70">
        <f>SUM(D176)</f>
        <v>562.716</v>
      </c>
      <c r="E175" s="70">
        <f>SUM(E176)</f>
        <v>0.1151879145173176</v>
      </c>
      <c r="F175" s="41"/>
    </row>
    <row r="176" spans="1:7" ht="15">
      <c r="A176" s="52" t="s">
        <v>117</v>
      </c>
      <c r="B176" s="56" t="s">
        <v>68</v>
      </c>
      <c r="C176" s="56" t="s">
        <v>115</v>
      </c>
      <c r="D176" s="55">
        <f>E176*12*$D$150</f>
        <v>562.716</v>
      </c>
      <c r="E176" s="64">
        <v>0.1151879145173176</v>
      </c>
      <c r="F176" s="41"/>
      <c r="G176" s="94"/>
    </row>
    <row r="177" spans="1:6" ht="15">
      <c r="A177" s="289" t="s">
        <v>156</v>
      </c>
      <c r="B177" s="289"/>
      <c r="C177" s="289"/>
      <c r="D177" s="70">
        <f>SUM(D178:D179)</f>
        <v>252.317832854678</v>
      </c>
      <c r="E177" s="70">
        <f>SUM(E178:E179)</f>
        <v>0.051649437659600006</v>
      </c>
      <c r="F177" s="41"/>
    </row>
    <row r="178" spans="1:7" ht="30">
      <c r="A178" s="52" t="s">
        <v>118</v>
      </c>
      <c r="B178" s="56" t="s">
        <v>32</v>
      </c>
      <c r="C178" s="56" t="s">
        <v>103</v>
      </c>
      <c r="D178" s="55">
        <f>E178*12*$D$150</f>
        <v>176.46127139719985</v>
      </c>
      <c r="E178" s="64">
        <v>0.036121606361500004</v>
      </c>
      <c r="F178" s="41"/>
      <c r="G178" s="97"/>
    </row>
    <row r="179" spans="1:7" ht="45">
      <c r="A179" s="52" t="s">
        <v>157</v>
      </c>
      <c r="B179" s="56" t="s">
        <v>86</v>
      </c>
      <c r="C179" s="56" t="s">
        <v>34</v>
      </c>
      <c r="D179" s="55">
        <f>E179*12*$D$150</f>
        <v>75.85656145747814</v>
      </c>
      <c r="E179" s="55">
        <v>0.015527831298100002</v>
      </c>
      <c r="F179" s="41"/>
      <c r="G179" s="98"/>
    </row>
    <row r="180" spans="1:7" ht="15">
      <c r="A180" s="43"/>
      <c r="B180" s="71" t="s">
        <v>120</v>
      </c>
      <c r="C180" s="71"/>
      <c r="D180" s="72">
        <f>D155+D164+D167+D172+D175+D177</f>
        <v>23708.731335277127</v>
      </c>
      <c r="E180" s="46">
        <f>E155+E164+E167+E172+E175+E177</f>
        <v>4.853175168934153</v>
      </c>
      <c r="F180" s="39"/>
      <c r="G180" s="98"/>
    </row>
    <row r="181" spans="1:6" ht="15">
      <c r="A181" s="73"/>
      <c r="B181" s="74"/>
      <c r="C181" s="75"/>
      <c r="D181" s="76"/>
      <c r="E181" s="77"/>
      <c r="F181" s="41"/>
    </row>
    <row r="182" spans="1:6" ht="105">
      <c r="A182" s="45" t="s">
        <v>3</v>
      </c>
      <c r="B182" s="45" t="s">
        <v>121</v>
      </c>
      <c r="C182" s="45" t="s">
        <v>122</v>
      </c>
      <c r="D182" s="45" t="s">
        <v>38</v>
      </c>
      <c r="E182" s="45" t="s">
        <v>123</v>
      </c>
      <c r="F182" s="45" t="s">
        <v>40</v>
      </c>
    </row>
    <row r="183" spans="1:6" ht="15">
      <c r="A183" s="45">
        <v>1</v>
      </c>
      <c r="B183" s="42" t="s">
        <v>41</v>
      </c>
      <c r="C183" s="45" t="s">
        <v>164</v>
      </c>
      <c r="D183" s="45">
        <v>10747.44</v>
      </c>
      <c r="E183" s="80">
        <f>D183/12/D150</f>
        <v>2.1999999999999997</v>
      </c>
      <c r="F183" s="81">
        <v>2</v>
      </c>
    </row>
    <row r="184" spans="1:6" ht="15">
      <c r="A184" s="45"/>
      <c r="B184" s="49" t="s">
        <v>36</v>
      </c>
      <c r="C184" s="44"/>
      <c r="D184" s="99">
        <f>D183</f>
        <v>10747.44</v>
      </c>
      <c r="E184" s="82">
        <f>SUM(E183:E183)</f>
        <v>2.1999999999999997</v>
      </c>
      <c r="F184" s="83"/>
    </row>
    <row r="185" spans="1:6" ht="15">
      <c r="A185" s="73"/>
      <c r="B185" s="74"/>
      <c r="C185" s="84"/>
      <c r="D185" s="84"/>
      <c r="E185" s="84"/>
      <c r="F185" s="84"/>
    </row>
    <row r="186" spans="1:6" ht="29.25">
      <c r="A186" s="73"/>
      <c r="B186" s="74" t="s">
        <v>125</v>
      </c>
      <c r="C186" s="85">
        <f>D180+D184</f>
        <v>34456.171335277126</v>
      </c>
      <c r="D186" s="85"/>
      <c r="E186" s="85"/>
      <c r="F186" s="84"/>
    </row>
    <row r="187" spans="1:6" ht="15">
      <c r="A187" s="73"/>
      <c r="B187" s="74" t="s">
        <v>126</v>
      </c>
      <c r="C187" s="86">
        <f>E180+E184</f>
        <v>7.053175168934153</v>
      </c>
      <c r="D187" s="84"/>
      <c r="E187" s="84"/>
      <c r="F187" s="84"/>
    </row>
    <row r="188" spans="1:6" ht="15">
      <c r="A188" s="73"/>
      <c r="B188" s="74"/>
      <c r="C188" s="86"/>
      <c r="D188" s="84"/>
      <c r="E188" s="84"/>
      <c r="F188" s="84"/>
    </row>
    <row r="189" spans="1:6" ht="15">
      <c r="A189" s="41"/>
      <c r="B189" s="41"/>
      <c r="C189" s="41"/>
      <c r="D189" s="41"/>
      <c r="E189" s="41"/>
      <c r="F189" s="41"/>
    </row>
    <row r="190" spans="1:6" ht="45.75" customHeight="1">
      <c r="A190" s="287" t="s">
        <v>44</v>
      </c>
      <c r="B190" s="287"/>
      <c r="C190" s="287"/>
      <c r="D190" s="287"/>
      <c r="E190" s="287"/>
      <c r="F190" s="287"/>
    </row>
    <row r="191" spans="1:6" ht="15">
      <c r="A191" s="36"/>
      <c r="B191" s="36"/>
      <c r="C191" s="36"/>
      <c r="D191" s="41"/>
      <c r="E191" s="41"/>
      <c r="F191" s="41"/>
    </row>
    <row r="192" spans="1:6" ht="71.25">
      <c r="A192" s="42"/>
      <c r="B192" s="43" t="s">
        <v>4</v>
      </c>
      <c r="C192" s="43" t="s">
        <v>5</v>
      </c>
      <c r="D192" s="43" t="s">
        <v>6</v>
      </c>
      <c r="E192" s="43" t="s">
        <v>93</v>
      </c>
      <c r="F192" s="41"/>
    </row>
    <row r="193" spans="1:5" ht="38.25" customHeight="1">
      <c r="A193" s="288" t="s">
        <v>47</v>
      </c>
      <c r="B193" s="288"/>
      <c r="C193" s="288"/>
      <c r="D193" s="46">
        <f>D194</f>
        <v>48.852000000000004</v>
      </c>
      <c r="E193" s="46">
        <f>E194</f>
        <v>0.01</v>
      </c>
    </row>
    <row r="194" spans="1:5" ht="30">
      <c r="A194" s="52" t="s">
        <v>48</v>
      </c>
      <c r="B194" s="88" t="s">
        <v>51</v>
      </c>
      <c r="C194" s="88" t="s">
        <v>90</v>
      </c>
      <c r="D194" s="55">
        <f>E194*12*D150</f>
        <v>48.852000000000004</v>
      </c>
      <c r="E194" s="87">
        <v>0.01</v>
      </c>
    </row>
    <row r="195" spans="1:5" ht="31.5" customHeight="1">
      <c r="A195" s="288" t="s">
        <v>53</v>
      </c>
      <c r="B195" s="288"/>
      <c r="C195" s="288"/>
      <c r="D195" s="46">
        <f>D196+D197</f>
        <v>1172.448</v>
      </c>
      <c r="E195" s="46">
        <f>E196+E197</f>
        <v>0.24</v>
      </c>
    </row>
    <row r="196" spans="1:5" ht="45">
      <c r="A196" s="52" t="s">
        <v>50</v>
      </c>
      <c r="B196" s="88" t="s">
        <v>55</v>
      </c>
      <c r="C196" s="88" t="s">
        <v>127</v>
      </c>
      <c r="D196" s="55">
        <f>E196*D150*12</f>
        <v>97.70400000000001</v>
      </c>
      <c r="E196" s="87">
        <v>0.02</v>
      </c>
    </row>
    <row r="197" spans="1:5" ht="30">
      <c r="A197" s="52" t="s">
        <v>54</v>
      </c>
      <c r="B197" s="89" t="s">
        <v>57</v>
      </c>
      <c r="C197" s="89" t="s">
        <v>58</v>
      </c>
      <c r="D197" s="55">
        <f>E197*$D$150*12</f>
        <v>1074.7440000000001</v>
      </c>
      <c r="E197" s="87">
        <v>0.22</v>
      </c>
    </row>
    <row r="198" spans="1:6" ht="15">
      <c r="A198" s="43"/>
      <c r="B198" s="71" t="s">
        <v>120</v>
      </c>
      <c r="C198" s="71"/>
      <c r="D198" s="72">
        <f>D193+D195</f>
        <v>1221.3000000000002</v>
      </c>
      <c r="E198" s="46">
        <f>E193+E195</f>
        <v>0.25</v>
      </c>
      <c r="F198" s="39"/>
    </row>
    <row r="199" spans="1:6" ht="15">
      <c r="A199" s="41"/>
      <c r="B199" s="41"/>
      <c r="C199" s="41"/>
      <c r="D199" s="41"/>
      <c r="E199" s="41"/>
      <c r="F199" s="41"/>
    </row>
    <row r="200" spans="1:6" ht="15">
      <c r="A200" s="78"/>
      <c r="B200" s="78"/>
      <c r="C200" s="78"/>
      <c r="D200" s="78"/>
      <c r="E200" s="78"/>
      <c r="F200" s="79"/>
    </row>
    <row r="201" spans="1:6" ht="105">
      <c r="A201" s="45" t="s">
        <v>3</v>
      </c>
      <c r="B201" s="45" t="s">
        <v>121</v>
      </c>
      <c r="C201" s="45" t="s">
        <v>122</v>
      </c>
      <c r="D201" s="45" t="s">
        <v>38</v>
      </c>
      <c r="E201" s="45" t="s">
        <v>123</v>
      </c>
      <c r="F201" s="45" t="s">
        <v>40</v>
      </c>
    </row>
    <row r="202" spans="1:6" ht="15">
      <c r="A202" s="45">
        <v>1</v>
      </c>
      <c r="B202" s="42" t="s">
        <v>41</v>
      </c>
      <c r="C202" s="45" t="s">
        <v>165</v>
      </c>
      <c r="D202" s="90">
        <v>977.04</v>
      </c>
      <c r="E202" s="91">
        <f>D202/12/$D$150</f>
        <v>0.19999999999999998</v>
      </c>
      <c r="F202" s="81">
        <v>2</v>
      </c>
    </row>
    <row r="203" spans="1:6" ht="15">
      <c r="A203" s="92"/>
      <c r="B203" s="92" t="s">
        <v>36</v>
      </c>
      <c r="C203" s="92"/>
      <c r="D203" s="100">
        <f>D202</f>
        <v>977.04</v>
      </c>
      <c r="E203" s="100">
        <f>E202</f>
        <v>0.19999999999999998</v>
      </c>
      <c r="F203" s="92"/>
    </row>
    <row r="204" ht="116.25" customHeight="1"/>
    <row r="205" spans="1:6" ht="15">
      <c r="A205" s="41"/>
      <c r="B205" s="36" t="s">
        <v>166</v>
      </c>
      <c r="C205" s="37"/>
      <c r="D205" s="38">
        <v>416.4</v>
      </c>
      <c r="E205" s="39" t="s">
        <v>82</v>
      </c>
      <c r="F205" s="41"/>
    </row>
    <row r="206" spans="1:6" ht="54.75" customHeight="1">
      <c r="A206" s="287" t="s">
        <v>62</v>
      </c>
      <c r="B206" s="287"/>
      <c r="C206" s="287"/>
      <c r="D206" s="287"/>
      <c r="E206" s="287"/>
      <c r="F206" s="41"/>
    </row>
    <row r="207" spans="1:6" ht="15">
      <c r="A207" s="36"/>
      <c r="B207" s="36"/>
      <c r="C207" s="36"/>
      <c r="D207" s="36"/>
      <c r="E207" s="36"/>
      <c r="F207" s="41"/>
    </row>
    <row r="208" spans="1:6" ht="71.25">
      <c r="A208" s="42"/>
      <c r="B208" s="43" t="s">
        <v>4</v>
      </c>
      <c r="C208" s="43" t="s">
        <v>5</v>
      </c>
      <c r="D208" s="43" t="s">
        <v>6</v>
      </c>
      <c r="E208" s="43" t="s">
        <v>93</v>
      </c>
      <c r="F208" s="41"/>
    </row>
    <row r="209" spans="1:6" ht="35.25" customHeight="1">
      <c r="A209" s="289" t="s">
        <v>76</v>
      </c>
      <c r="B209" s="290"/>
      <c r="C209" s="290"/>
      <c r="D209" s="46">
        <f>SUM(D210:D217)</f>
        <v>10591.843461061377</v>
      </c>
      <c r="E209" s="46">
        <f>SUM(E210:E217)</f>
        <v>2.119725316414781</v>
      </c>
      <c r="F209" s="47"/>
    </row>
    <row r="210" spans="1:6" ht="30">
      <c r="A210" s="52" t="s">
        <v>48</v>
      </c>
      <c r="B210" s="42" t="s">
        <v>57</v>
      </c>
      <c r="C210" s="54" t="s">
        <v>10</v>
      </c>
      <c r="D210" s="55">
        <f aca="true" t="shared" si="3" ref="D210:D217">E210*$D$205*12</f>
        <v>865.5177771274538</v>
      </c>
      <c r="E210" s="55">
        <v>0.1732144126495865</v>
      </c>
      <c r="F210" s="41"/>
    </row>
    <row r="211" spans="1:7" ht="15">
      <c r="A211" s="52" t="s">
        <v>75</v>
      </c>
      <c r="B211" s="42" t="s">
        <v>81</v>
      </c>
      <c r="C211" s="54" t="s">
        <v>10</v>
      </c>
      <c r="D211" s="55">
        <f t="shared" si="3"/>
        <v>685.6837617847202</v>
      </c>
      <c r="E211" s="55">
        <v>0.13722457608563887</v>
      </c>
      <c r="F211" s="41"/>
      <c r="G211" s="118"/>
    </row>
    <row r="212" spans="1:7" ht="15">
      <c r="A212" s="52" t="s">
        <v>74</v>
      </c>
      <c r="B212" s="42" t="s">
        <v>149</v>
      </c>
      <c r="C212" s="54" t="s">
        <v>150</v>
      </c>
      <c r="D212" s="55">
        <f t="shared" si="3"/>
        <v>2217.340995901239</v>
      </c>
      <c r="E212" s="55">
        <v>0.44375220058862447</v>
      </c>
      <c r="F212" s="41"/>
      <c r="G212" s="106"/>
    </row>
    <row r="213" spans="1:7" ht="30">
      <c r="A213" s="52" t="s">
        <v>130</v>
      </c>
      <c r="B213" s="42" t="s">
        <v>66</v>
      </c>
      <c r="C213" s="56" t="s">
        <v>15</v>
      </c>
      <c r="D213" s="55">
        <f t="shared" si="3"/>
        <v>1008.3401602600044</v>
      </c>
      <c r="E213" s="55">
        <v>0.20179718224864002</v>
      </c>
      <c r="F213" s="41"/>
      <c r="G213" s="106"/>
    </row>
    <row r="214" spans="1:7" ht="60">
      <c r="A214" s="52" t="s">
        <v>59</v>
      </c>
      <c r="B214" s="54" t="s">
        <v>79</v>
      </c>
      <c r="C214" s="54" t="s">
        <v>16</v>
      </c>
      <c r="D214" s="55">
        <f t="shared" si="3"/>
        <v>5374.683818805079</v>
      </c>
      <c r="E214" s="55">
        <v>1.07562516386589</v>
      </c>
      <c r="F214" s="41"/>
      <c r="G214" s="106"/>
    </row>
    <row r="215" spans="1:7" ht="15">
      <c r="A215" s="52" t="s">
        <v>95</v>
      </c>
      <c r="B215" s="56" t="s">
        <v>94</v>
      </c>
      <c r="C215" s="56" t="s">
        <v>15</v>
      </c>
      <c r="D215" s="55">
        <f t="shared" si="3"/>
        <v>43.346534884622926</v>
      </c>
      <c r="E215" s="55">
        <v>0.008674858886612017</v>
      </c>
      <c r="F215" s="41"/>
      <c r="G215" s="106"/>
    </row>
    <row r="216" spans="1:7" ht="15">
      <c r="A216" s="52" t="s">
        <v>97</v>
      </c>
      <c r="B216" s="56" t="s">
        <v>96</v>
      </c>
      <c r="C216" s="56" t="s">
        <v>12</v>
      </c>
      <c r="D216" s="55">
        <f t="shared" si="3"/>
        <v>35.778092283347036</v>
      </c>
      <c r="E216" s="55">
        <v>0.007160200985300001</v>
      </c>
      <c r="F216" s="41"/>
      <c r="G216" s="106"/>
    </row>
    <row r="217" spans="1:6" ht="15">
      <c r="A217" s="52" t="s">
        <v>100</v>
      </c>
      <c r="B217" s="56" t="s">
        <v>98</v>
      </c>
      <c r="C217" s="56" t="s">
        <v>13</v>
      </c>
      <c r="D217" s="55">
        <f t="shared" si="3"/>
        <v>361.15232001491063</v>
      </c>
      <c r="E217" s="55">
        <v>0.072276721104489</v>
      </c>
      <c r="F217" s="60"/>
    </row>
    <row r="218" spans="1:6" ht="15">
      <c r="A218" s="291" t="s">
        <v>151</v>
      </c>
      <c r="B218" s="259"/>
      <c r="C218" s="260"/>
      <c r="D218" s="46">
        <f>SUM(D219:D220)</f>
        <v>3256.6241010728304</v>
      </c>
      <c r="E218" s="46">
        <f>SUM(E219:E220)</f>
        <v>0.651741935053</v>
      </c>
      <c r="F218" s="62"/>
    </row>
    <row r="219" spans="1:7" ht="15">
      <c r="A219" s="52" t="s">
        <v>102</v>
      </c>
      <c r="B219" s="42" t="s">
        <v>26</v>
      </c>
      <c r="C219" s="54" t="s">
        <v>101</v>
      </c>
      <c r="D219" s="55">
        <f>E219*$D$205*12</f>
        <v>2979.527997335472</v>
      </c>
      <c r="E219" s="55">
        <v>0.5962872232900001</v>
      </c>
      <c r="F219" s="60"/>
      <c r="G219" s="120"/>
    </row>
    <row r="220" spans="1:6" ht="30">
      <c r="A220" s="52" t="s">
        <v>152</v>
      </c>
      <c r="B220" s="56" t="s">
        <v>28</v>
      </c>
      <c r="C220" s="56" t="s">
        <v>103</v>
      </c>
      <c r="D220" s="55">
        <f>E220*$D$205*12</f>
        <v>277.0961037373584</v>
      </c>
      <c r="E220" s="55">
        <v>0.05545471176300001</v>
      </c>
      <c r="F220" s="60"/>
    </row>
    <row r="221" spans="1:6" ht="15">
      <c r="A221" s="291" t="s">
        <v>20</v>
      </c>
      <c r="B221" s="292"/>
      <c r="C221" s="293"/>
      <c r="D221" s="65">
        <f>SUM(D222:D225)</f>
        <v>2373.3212666502673</v>
      </c>
      <c r="E221" s="65">
        <f>SUM(E222:E225)</f>
        <v>0.474968232999173</v>
      </c>
      <c r="F221" s="60"/>
    </row>
    <row r="222" spans="1:6" ht="30">
      <c r="A222" s="52" t="s">
        <v>105</v>
      </c>
      <c r="B222" s="56" t="s">
        <v>21</v>
      </c>
      <c r="C222" s="56" t="s">
        <v>13</v>
      </c>
      <c r="D222" s="55">
        <f>E222*12*$D$205</f>
        <v>188.76091980499692</v>
      </c>
      <c r="E222" s="55">
        <v>0.03777636083193182</v>
      </c>
      <c r="F222" s="47"/>
    </row>
    <row r="223" spans="1:6" ht="30">
      <c r="A223" s="52" t="s">
        <v>106</v>
      </c>
      <c r="B223" s="56" t="s">
        <v>22</v>
      </c>
      <c r="C223" s="56" t="s">
        <v>13</v>
      </c>
      <c r="D223" s="55">
        <f>E223*12*$D$205</f>
        <v>1416.9890631692524</v>
      </c>
      <c r="E223" s="55">
        <v>0.28357930338801884</v>
      </c>
      <c r="F223" s="67"/>
    </row>
    <row r="224" spans="1:6" ht="30">
      <c r="A224" s="52" t="s">
        <v>107</v>
      </c>
      <c r="B224" s="56" t="s">
        <v>23</v>
      </c>
      <c r="C224" s="56" t="s">
        <v>13</v>
      </c>
      <c r="D224" s="55">
        <f>E224*12*$D$205</f>
        <v>720.3928605100208</v>
      </c>
      <c r="E224" s="55">
        <v>0.1441708414405261</v>
      </c>
      <c r="F224" s="41"/>
    </row>
    <row r="225" spans="1:6" ht="90">
      <c r="A225" s="52" t="s">
        <v>110</v>
      </c>
      <c r="B225" s="56" t="s">
        <v>108</v>
      </c>
      <c r="C225" s="56" t="s">
        <v>13</v>
      </c>
      <c r="D225" s="55">
        <f>E225*12*$D$205</f>
        <v>47.178423165997295</v>
      </c>
      <c r="E225" s="55">
        <v>0.009441727338696226</v>
      </c>
      <c r="F225" s="41"/>
    </row>
    <row r="226" spans="1:7" ht="15">
      <c r="A226" s="289" t="s">
        <v>109</v>
      </c>
      <c r="B226" s="290"/>
      <c r="C226" s="290"/>
      <c r="D226" s="68">
        <f>SUM(D227:D228)</f>
        <v>7795.750793175924</v>
      </c>
      <c r="E226" s="68">
        <f>SUM(E227:E228)</f>
        <v>1.5601486537736</v>
      </c>
      <c r="F226" s="41"/>
      <c r="G226" s="121"/>
    </row>
    <row r="227" spans="1:7" ht="75">
      <c r="A227" s="69" t="s">
        <v>153</v>
      </c>
      <c r="B227" s="56" t="s">
        <v>88</v>
      </c>
      <c r="C227" s="56" t="s">
        <v>13</v>
      </c>
      <c r="D227" s="55">
        <f>E227*12*$D$205</f>
        <v>533.4253139031696</v>
      </c>
      <c r="E227" s="55">
        <v>0.10675338494700001</v>
      </c>
      <c r="F227" s="41"/>
      <c r="G227" s="98"/>
    </row>
    <row r="228" spans="1:7" ht="105">
      <c r="A228" s="52" t="s">
        <v>154</v>
      </c>
      <c r="B228" s="56" t="s">
        <v>71</v>
      </c>
      <c r="C228" s="56" t="s">
        <v>112</v>
      </c>
      <c r="D228" s="55">
        <f>E228*12*$D$205</f>
        <v>7262.325479272754</v>
      </c>
      <c r="E228" s="64">
        <v>1.4533952688266</v>
      </c>
      <c r="F228" s="41"/>
      <c r="G228" s="98"/>
    </row>
    <row r="229" spans="1:7" ht="15">
      <c r="A229" s="289" t="s">
        <v>155</v>
      </c>
      <c r="B229" s="289"/>
      <c r="C229" s="289"/>
      <c r="D229" s="70">
        <f>SUM(D230)</f>
        <v>643.1039999999999</v>
      </c>
      <c r="E229" s="70">
        <f>SUM(E230)</f>
        <v>0.12870317002881845</v>
      </c>
      <c r="F229" s="41"/>
      <c r="G229" s="51"/>
    </row>
    <row r="230" spans="1:7" ht="15">
      <c r="A230" s="52" t="s">
        <v>117</v>
      </c>
      <c r="B230" s="56" t="s">
        <v>68</v>
      </c>
      <c r="C230" s="56" t="s">
        <v>115</v>
      </c>
      <c r="D230" s="55">
        <f>E230*12*$D$205</f>
        <v>643.1039999999999</v>
      </c>
      <c r="E230" s="55">
        <v>0.12870317002881845</v>
      </c>
      <c r="F230" s="41"/>
      <c r="G230" s="118"/>
    </row>
    <row r="231" spans="1:6" ht="15">
      <c r="A231" s="289" t="s">
        <v>156</v>
      </c>
      <c r="B231" s="289"/>
      <c r="C231" s="289"/>
      <c r="D231" s="70">
        <f>SUM(D232:D233)</f>
        <v>267.758132853275</v>
      </c>
      <c r="E231" s="70">
        <f>SUM(E232:E233)</f>
        <v>0.053585921560453706</v>
      </c>
      <c r="F231" s="41"/>
    </row>
    <row r="232" spans="1:7" ht="30">
      <c r="A232" s="52" t="s">
        <v>118</v>
      </c>
      <c r="B232" s="56" t="s">
        <v>32</v>
      </c>
      <c r="C232" s="56" t="s">
        <v>103</v>
      </c>
      <c r="D232" s="55">
        <f>E232*12*$D$205</f>
        <v>187.43016394520825</v>
      </c>
      <c r="E232" s="64">
        <v>0.0375100392141387</v>
      </c>
      <c r="F232" s="41"/>
      <c r="G232" s="98"/>
    </row>
    <row r="233" spans="1:7" ht="45">
      <c r="A233" s="52" t="s">
        <v>157</v>
      </c>
      <c r="B233" s="56" t="s">
        <v>86</v>
      </c>
      <c r="C233" s="56" t="s">
        <v>34</v>
      </c>
      <c r="D233" s="55">
        <f>E233*12*$D$205</f>
        <v>80.32796890806678</v>
      </c>
      <c r="E233" s="55">
        <v>0.016075882346315</v>
      </c>
      <c r="F233" s="41"/>
      <c r="G233" s="97"/>
    </row>
    <row r="234" spans="1:7" ht="15">
      <c r="A234" s="43"/>
      <c r="B234" s="71" t="s">
        <v>120</v>
      </c>
      <c r="C234" s="71"/>
      <c r="D234" s="72">
        <f>D209+D218+D221+D226+D229+D231</f>
        <v>24928.401754813673</v>
      </c>
      <c r="E234" s="46">
        <f>E209+E218+E221+E226+E229+E231</f>
        <v>4.988873229829826</v>
      </c>
      <c r="F234" s="39"/>
      <c r="G234" s="98"/>
    </row>
    <row r="235" spans="1:7" ht="15">
      <c r="A235" s="73"/>
      <c r="B235" s="74"/>
      <c r="C235" s="75"/>
      <c r="D235" s="76"/>
      <c r="E235" s="77"/>
      <c r="F235" s="41"/>
      <c r="G235" s="98"/>
    </row>
    <row r="236" spans="1:6" ht="15">
      <c r="A236" s="78"/>
      <c r="B236" s="78"/>
      <c r="C236" s="78"/>
      <c r="D236" s="78"/>
      <c r="E236" s="78"/>
      <c r="F236" s="79"/>
    </row>
    <row r="237" spans="1:6" ht="105">
      <c r="A237" s="45" t="s">
        <v>3</v>
      </c>
      <c r="B237" s="45" t="s">
        <v>121</v>
      </c>
      <c r="C237" s="45" t="s">
        <v>122</v>
      </c>
      <c r="D237" s="45" t="s">
        <v>38</v>
      </c>
      <c r="E237" s="45" t="s">
        <v>123</v>
      </c>
      <c r="F237" s="45" t="s">
        <v>40</v>
      </c>
    </row>
    <row r="238" spans="1:6" ht="15">
      <c r="A238" s="45">
        <v>1</v>
      </c>
      <c r="B238" s="42" t="s">
        <v>41</v>
      </c>
      <c r="C238" s="45" t="s">
        <v>158</v>
      </c>
      <c r="D238" s="45">
        <v>10992.96</v>
      </c>
      <c r="E238" s="80">
        <f>D238/12/D205</f>
        <v>2.1999999999999997</v>
      </c>
      <c r="F238" s="81">
        <v>2</v>
      </c>
    </row>
    <row r="239" spans="1:6" ht="15">
      <c r="A239" s="45"/>
      <c r="B239" s="49" t="s">
        <v>36</v>
      </c>
      <c r="C239" s="44"/>
      <c r="D239" s="99">
        <f>D238</f>
        <v>10992.96</v>
      </c>
      <c r="E239" s="82">
        <f>SUM(E238:E238)</f>
        <v>2.1999999999999997</v>
      </c>
      <c r="F239" s="83"/>
    </row>
    <row r="240" spans="1:6" ht="15">
      <c r="A240" s="73"/>
      <c r="B240" s="74"/>
      <c r="C240" s="84"/>
      <c r="D240" s="84"/>
      <c r="E240" s="84"/>
      <c r="F240" s="84"/>
    </row>
    <row r="241" spans="1:6" ht="29.25">
      <c r="A241" s="73"/>
      <c r="B241" s="74" t="s">
        <v>125</v>
      </c>
      <c r="C241" s="85">
        <f>D234+D239</f>
        <v>35921.36175481367</v>
      </c>
      <c r="D241" s="85"/>
      <c r="E241" s="85"/>
      <c r="F241" s="84"/>
    </row>
    <row r="242" spans="1:6" ht="15">
      <c r="A242" s="73"/>
      <c r="B242" s="74" t="s">
        <v>126</v>
      </c>
      <c r="C242" s="86">
        <f>E234+E239</f>
        <v>7.1888732298298255</v>
      </c>
      <c r="D242" s="84"/>
      <c r="E242" s="84"/>
      <c r="F242" s="84"/>
    </row>
    <row r="243" spans="1:6" ht="15">
      <c r="A243" s="73"/>
      <c r="B243" s="74"/>
      <c r="C243" s="86"/>
      <c r="D243" s="84"/>
      <c r="E243" s="84"/>
      <c r="F243" s="84"/>
    </row>
    <row r="244" spans="1:6" ht="34.5" customHeight="1">
      <c r="A244" s="287" t="s">
        <v>44</v>
      </c>
      <c r="B244" s="287"/>
      <c r="C244" s="287"/>
      <c r="D244" s="287"/>
      <c r="E244" s="287"/>
      <c r="F244" s="287"/>
    </row>
    <row r="245" spans="1:6" ht="15">
      <c r="A245" s="36"/>
      <c r="B245" s="36"/>
      <c r="C245" s="36"/>
      <c r="D245" s="41"/>
      <c r="E245" s="41"/>
      <c r="F245" s="41"/>
    </row>
    <row r="246" spans="1:6" ht="71.25">
      <c r="A246" s="42"/>
      <c r="B246" s="43" t="s">
        <v>4</v>
      </c>
      <c r="C246" s="43" t="s">
        <v>5</v>
      </c>
      <c r="D246" s="43" t="s">
        <v>6</v>
      </c>
      <c r="E246" s="43" t="s">
        <v>93</v>
      </c>
      <c r="F246" s="41"/>
    </row>
    <row r="247" spans="1:5" ht="30.75" customHeight="1">
      <c r="A247" s="288" t="s">
        <v>47</v>
      </c>
      <c r="B247" s="288"/>
      <c r="C247" s="288"/>
      <c r="D247" s="46">
        <f>D248</f>
        <v>49.967999999999996</v>
      </c>
      <c r="E247" s="46">
        <f>E248</f>
        <v>0.01</v>
      </c>
    </row>
    <row r="248" spans="1:5" ht="30">
      <c r="A248" s="52" t="s">
        <v>48</v>
      </c>
      <c r="B248" s="88" t="s">
        <v>51</v>
      </c>
      <c r="C248" s="88" t="s">
        <v>90</v>
      </c>
      <c r="D248" s="55">
        <f>E248*12*D205</f>
        <v>49.967999999999996</v>
      </c>
      <c r="E248" s="87">
        <v>0.01</v>
      </c>
    </row>
    <row r="249" spans="1:5" ht="31.5" customHeight="1">
      <c r="A249" s="288" t="s">
        <v>53</v>
      </c>
      <c r="B249" s="288"/>
      <c r="C249" s="288"/>
      <c r="D249" s="46">
        <f>D250+D251</f>
        <v>1199.2319999999997</v>
      </c>
      <c r="E249" s="46">
        <f>E250+E251</f>
        <v>0.24</v>
      </c>
    </row>
    <row r="250" spans="1:5" ht="45">
      <c r="A250" s="52" t="s">
        <v>50</v>
      </c>
      <c r="B250" s="88" t="s">
        <v>55</v>
      </c>
      <c r="C250" s="88" t="s">
        <v>127</v>
      </c>
      <c r="D250" s="55">
        <f>E250*D205*12</f>
        <v>99.93599999999999</v>
      </c>
      <c r="E250" s="87">
        <v>0.02</v>
      </c>
    </row>
    <row r="251" spans="1:5" ht="30">
      <c r="A251" s="52" t="s">
        <v>54</v>
      </c>
      <c r="B251" s="89" t="s">
        <v>57</v>
      </c>
      <c r="C251" s="89" t="s">
        <v>58</v>
      </c>
      <c r="D251" s="55">
        <f>E251*$D$205*12</f>
        <v>1099.2959999999998</v>
      </c>
      <c r="E251" s="87">
        <v>0.22</v>
      </c>
    </row>
    <row r="252" spans="1:6" ht="15">
      <c r="A252" s="43"/>
      <c r="B252" s="71" t="s">
        <v>120</v>
      </c>
      <c r="C252" s="71"/>
      <c r="D252" s="72">
        <f>D247+D249</f>
        <v>1249.1999999999998</v>
      </c>
      <c r="E252" s="46">
        <f>E247+E249</f>
        <v>0.25</v>
      </c>
      <c r="F252" s="39"/>
    </row>
    <row r="253" spans="1:6" ht="15">
      <c r="A253" s="41"/>
      <c r="B253" s="41"/>
      <c r="C253" s="41"/>
      <c r="D253" s="41"/>
      <c r="E253" s="41"/>
      <c r="F253" s="41"/>
    </row>
    <row r="254" spans="1:6" ht="105">
      <c r="A254" s="45" t="s">
        <v>3</v>
      </c>
      <c r="B254" s="45" t="s">
        <v>121</v>
      </c>
      <c r="C254" s="45" t="s">
        <v>122</v>
      </c>
      <c r="D254" s="45" t="s">
        <v>38</v>
      </c>
      <c r="E254" s="45" t="s">
        <v>123</v>
      </c>
      <c r="F254" s="45" t="s">
        <v>40</v>
      </c>
    </row>
    <row r="255" spans="1:6" ht="15">
      <c r="A255" s="45">
        <v>1</v>
      </c>
      <c r="B255" s="42" t="s">
        <v>41</v>
      </c>
      <c r="C255" s="45" t="s">
        <v>159</v>
      </c>
      <c r="D255" s="90">
        <v>999.36</v>
      </c>
      <c r="E255" s="91">
        <f>D255/12/$D$205</f>
        <v>0.2</v>
      </c>
      <c r="F255" s="81">
        <v>2</v>
      </c>
    </row>
    <row r="256" spans="1:6" ht="15">
      <c r="A256" s="92"/>
      <c r="B256" s="92" t="s">
        <v>36</v>
      </c>
      <c r="C256" s="92"/>
      <c r="D256" s="100">
        <v>999.36</v>
      </c>
      <c r="E256" s="100">
        <f>E255</f>
        <v>0.2</v>
      </c>
      <c r="F256" s="92"/>
    </row>
    <row r="258" spans="2:3" ht="43.5">
      <c r="B258" s="74" t="s">
        <v>167</v>
      </c>
      <c r="C258" s="104">
        <f>C29+C78+C131+C186+C241</f>
        <v>155261.46958792495</v>
      </c>
    </row>
  </sheetData>
  <mergeCells count="49">
    <mergeCell ref="A249:C249"/>
    <mergeCell ref="A226:C226"/>
    <mergeCell ref="A229:C229"/>
    <mergeCell ref="A231:C231"/>
    <mergeCell ref="A190:F190"/>
    <mergeCell ref="A193:C193"/>
    <mergeCell ref="A244:F244"/>
    <mergeCell ref="A247:C247"/>
    <mergeCell ref="A140:C140"/>
    <mergeCell ref="A152:E152"/>
    <mergeCell ref="A209:C209"/>
    <mergeCell ref="A164:C164"/>
    <mergeCell ref="A167:C167"/>
    <mergeCell ref="A172:C172"/>
    <mergeCell ref="A175:C175"/>
    <mergeCell ref="A195:C195"/>
    <mergeCell ref="A206:E206"/>
    <mergeCell ref="A177:C177"/>
    <mergeCell ref="A100:C100"/>
    <mergeCell ref="A109:C109"/>
    <mergeCell ref="A112:C112"/>
    <mergeCell ref="A221:C221"/>
    <mergeCell ref="A117:C117"/>
    <mergeCell ref="A120:C120"/>
    <mergeCell ref="A122:C122"/>
    <mergeCell ref="A218:C218"/>
    <mergeCell ref="A135:F135"/>
    <mergeCell ref="A138:C138"/>
    <mergeCell ref="A47:C47"/>
    <mergeCell ref="A56:C56"/>
    <mergeCell ref="A97:E97"/>
    <mergeCell ref="A155:C155"/>
    <mergeCell ref="A83:C83"/>
    <mergeCell ref="A85:C85"/>
    <mergeCell ref="A59:C59"/>
    <mergeCell ref="A64:C64"/>
    <mergeCell ref="A67:C67"/>
    <mergeCell ref="A69:C69"/>
    <mergeCell ref="A7:C7"/>
    <mergeCell ref="A10:C10"/>
    <mergeCell ref="A12:C12"/>
    <mergeCell ref="A1:E1"/>
    <mergeCell ref="A4:E4"/>
    <mergeCell ref="A36:C36"/>
    <mergeCell ref="A38:C38"/>
    <mergeCell ref="A44:E44"/>
    <mergeCell ref="A15:C15"/>
    <mergeCell ref="A17:C17"/>
    <mergeCell ref="A33:F3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37">
      <selection activeCell="C70" sqref="C70"/>
    </sheetView>
  </sheetViews>
  <sheetFormatPr defaultColWidth="9.00390625" defaultRowHeight="12.75"/>
  <cols>
    <col min="1" max="1" width="3.75390625" style="35" customWidth="1"/>
    <col min="2" max="2" width="43.375" style="35" customWidth="1"/>
    <col min="3" max="3" width="17.75390625" style="35" customWidth="1"/>
    <col min="4" max="4" width="11.00390625" style="35" customWidth="1"/>
    <col min="5" max="5" width="12.875" style="35" customWidth="1"/>
    <col min="6" max="16384" width="9.125" style="35" customWidth="1"/>
  </cols>
  <sheetData>
    <row r="1" spans="1:6" ht="15">
      <c r="A1" s="287" t="s">
        <v>200</v>
      </c>
      <c r="B1" s="287"/>
      <c r="C1" s="287"/>
      <c r="D1" s="287"/>
      <c r="E1" s="287"/>
      <c r="F1" s="41"/>
    </row>
    <row r="2" spans="1:6" ht="39" customHeight="1">
      <c r="A2" s="41"/>
      <c r="B2" s="36" t="s">
        <v>201</v>
      </c>
      <c r="C2" s="37"/>
      <c r="D2" s="38">
        <v>132.7</v>
      </c>
      <c r="E2" s="39" t="s">
        <v>82</v>
      </c>
      <c r="F2" s="41"/>
    </row>
    <row r="3" spans="1:6" ht="15">
      <c r="A3" s="41"/>
      <c r="B3" s="40"/>
      <c r="C3" s="41"/>
      <c r="D3" s="41"/>
      <c r="E3" s="41"/>
      <c r="F3" s="41"/>
    </row>
    <row r="4" spans="1:6" ht="30.75" customHeight="1">
      <c r="A4" s="287" t="s">
        <v>62</v>
      </c>
      <c r="B4" s="287"/>
      <c r="C4" s="287"/>
      <c r="D4" s="287"/>
      <c r="E4" s="287"/>
      <c r="F4" s="41"/>
    </row>
    <row r="5" spans="1:6" ht="6" customHeight="1">
      <c r="A5" s="36"/>
      <c r="B5" s="36"/>
      <c r="C5" s="36"/>
      <c r="D5" s="36"/>
      <c r="E5" s="36"/>
      <c r="F5" s="41"/>
    </row>
    <row r="6" spans="1:6" ht="71.25">
      <c r="A6" s="42"/>
      <c r="B6" s="43" t="s">
        <v>4</v>
      </c>
      <c r="C6" s="43" t="s">
        <v>5</v>
      </c>
      <c r="D6" s="43" t="s">
        <v>6</v>
      </c>
      <c r="E6" s="43" t="s">
        <v>93</v>
      </c>
      <c r="F6" s="41"/>
    </row>
    <row r="7" spans="1:7" ht="15">
      <c r="A7" s="291" t="s">
        <v>129</v>
      </c>
      <c r="B7" s="259"/>
      <c r="C7" s="260"/>
      <c r="D7" s="46">
        <f>SUM(D8:D9)</f>
        <v>888.1702093879345</v>
      </c>
      <c r="E7" s="46">
        <f>SUM(E8:E9)</f>
        <v>0.5577557205400243</v>
      </c>
      <c r="F7" s="62"/>
      <c r="G7" s="63"/>
    </row>
    <row r="8" spans="1:7" ht="15.75" customHeight="1">
      <c r="A8" s="52">
        <v>1</v>
      </c>
      <c r="B8" s="42" t="s">
        <v>26</v>
      </c>
      <c r="C8" s="54" t="s">
        <v>101</v>
      </c>
      <c r="D8" s="55">
        <f>E8*$D$2*12</f>
        <v>812.598544728211</v>
      </c>
      <c r="E8" s="64">
        <v>0.5102980059835538</v>
      </c>
      <c r="F8" s="60"/>
      <c r="G8" s="63"/>
    </row>
    <row r="9" spans="1:7" ht="30">
      <c r="A9" s="52">
        <v>2</v>
      </c>
      <c r="B9" s="56" t="s">
        <v>28</v>
      </c>
      <c r="C9" s="56" t="s">
        <v>103</v>
      </c>
      <c r="D9" s="55">
        <f>E9*$D$2*12</f>
        <v>75.57166465972357</v>
      </c>
      <c r="E9" s="55">
        <v>0.047457714556470465</v>
      </c>
      <c r="F9" s="60"/>
      <c r="G9" s="63"/>
    </row>
    <row r="10" spans="1:7" ht="15">
      <c r="A10" s="291" t="s">
        <v>77</v>
      </c>
      <c r="B10" s="292"/>
      <c r="C10" s="293"/>
      <c r="D10" s="65">
        <f>SUM(D11:D11)</f>
        <v>25.89412282738035</v>
      </c>
      <c r="E10" s="65">
        <f>SUM(E11:E11)</f>
        <v>0.01626106683457696</v>
      </c>
      <c r="F10" s="60"/>
      <c r="G10" s="63"/>
    </row>
    <row r="11" spans="1:6" ht="60">
      <c r="A11" s="52">
        <v>3</v>
      </c>
      <c r="B11" s="56" t="s">
        <v>139</v>
      </c>
      <c r="C11" s="56" t="s">
        <v>13</v>
      </c>
      <c r="D11" s="55">
        <f>E11*12*$D$2</f>
        <v>25.89412282738035</v>
      </c>
      <c r="E11" s="55">
        <v>0.01626106683457696</v>
      </c>
      <c r="F11" s="41"/>
    </row>
    <row r="12" spans="1:6" ht="15">
      <c r="A12" s="289" t="s">
        <v>132</v>
      </c>
      <c r="B12" s="290"/>
      <c r="C12" s="290"/>
      <c r="D12" s="68">
        <f>SUM(D13:D14)</f>
        <v>1173.598939941479</v>
      </c>
      <c r="E12" s="68">
        <f>SUM(E13:E14)</f>
        <v>0.7370000878808586</v>
      </c>
      <c r="F12" s="41"/>
    </row>
    <row r="13" spans="1:6" ht="75">
      <c r="A13" s="69">
        <v>4</v>
      </c>
      <c r="B13" s="56" t="s">
        <v>88</v>
      </c>
      <c r="C13" s="56" t="s">
        <v>13</v>
      </c>
      <c r="D13" s="55">
        <f>E13*12*$D$2</f>
        <v>135.36850969178658</v>
      </c>
      <c r="E13" s="55">
        <v>0.08500911183859997</v>
      </c>
      <c r="F13" s="41"/>
    </row>
    <row r="14" spans="1:6" ht="105">
      <c r="A14" s="52">
        <v>5</v>
      </c>
      <c r="B14" s="56" t="s">
        <v>71</v>
      </c>
      <c r="C14" s="56" t="s">
        <v>112</v>
      </c>
      <c r="D14" s="55">
        <f>E14*12*$D$2</f>
        <v>1038.2304302496925</v>
      </c>
      <c r="E14" s="64">
        <v>0.6519909760422586</v>
      </c>
      <c r="F14" s="41"/>
    </row>
    <row r="15" spans="1:6" ht="15">
      <c r="A15" s="289" t="s">
        <v>134</v>
      </c>
      <c r="B15" s="289"/>
      <c r="C15" s="289"/>
      <c r="D15" s="70">
        <f>SUM(D16)</f>
        <v>160.77599999999995</v>
      </c>
      <c r="E15" s="70">
        <f>SUM(E16)</f>
        <v>0.100964581763376</v>
      </c>
      <c r="F15" s="41"/>
    </row>
    <row r="16" spans="1:6" ht="15">
      <c r="A16" s="52">
        <v>6</v>
      </c>
      <c r="B16" s="56" t="s">
        <v>68</v>
      </c>
      <c r="C16" s="56" t="s">
        <v>115</v>
      </c>
      <c r="D16" s="55">
        <f>E16*12*$D$2</f>
        <v>160.77599999999995</v>
      </c>
      <c r="E16" s="101">
        <v>0.100964581763376</v>
      </c>
      <c r="F16" s="41"/>
    </row>
    <row r="17" spans="1:6" ht="15">
      <c r="A17" s="289" t="s">
        <v>116</v>
      </c>
      <c r="B17" s="289"/>
      <c r="C17" s="289"/>
      <c r="D17" s="70">
        <f>SUM(D18:D18)</f>
        <v>26.963352794459023</v>
      </c>
      <c r="E17" s="70">
        <f>SUM(E18:E18)</f>
        <v>0.016932524990240533</v>
      </c>
      <c r="F17" s="41"/>
    </row>
    <row r="18" spans="1:6" ht="45">
      <c r="A18" s="52">
        <v>7</v>
      </c>
      <c r="B18" s="56" t="s">
        <v>33</v>
      </c>
      <c r="C18" s="56" t="s">
        <v>34</v>
      </c>
      <c r="D18" s="55">
        <f>E18*12*$D$2</f>
        <v>26.963352794459023</v>
      </c>
      <c r="E18" s="64">
        <v>0.016932524990240533</v>
      </c>
      <c r="F18" s="41"/>
    </row>
    <row r="19" spans="1:6" ht="15">
      <c r="A19" s="43"/>
      <c r="B19" s="71" t="s">
        <v>120</v>
      </c>
      <c r="C19" s="71"/>
      <c r="D19" s="72">
        <f>D7+D10+D12+D15+D17</f>
        <v>2275.4026249512526</v>
      </c>
      <c r="E19" s="46">
        <f>E7+E10+E12+E15+E17</f>
        <v>1.4289139820090764</v>
      </c>
      <c r="F19" s="39"/>
    </row>
    <row r="20" spans="1:6" ht="7.5" customHeight="1">
      <c r="A20" s="73"/>
      <c r="B20" s="74"/>
      <c r="C20" s="75"/>
      <c r="D20" s="76"/>
      <c r="E20" s="77"/>
      <c r="F20" s="41"/>
    </row>
    <row r="21" spans="1:6" ht="105">
      <c r="A21" s="45" t="s">
        <v>3</v>
      </c>
      <c r="B21" s="45" t="s">
        <v>121</v>
      </c>
      <c r="C21" s="45" t="s">
        <v>122</v>
      </c>
      <c r="D21" s="45" t="s">
        <v>38</v>
      </c>
      <c r="E21" s="45" t="s">
        <v>181</v>
      </c>
      <c r="F21" s="45" t="s">
        <v>40</v>
      </c>
    </row>
    <row r="22" spans="1:6" ht="15">
      <c r="A22" s="45">
        <v>1</v>
      </c>
      <c r="B22" s="42" t="s">
        <v>41</v>
      </c>
      <c r="C22" s="45" t="s">
        <v>293</v>
      </c>
      <c r="D22" s="45">
        <v>3503.5</v>
      </c>
      <c r="E22" s="80">
        <f>D22/12/D2</f>
        <v>2.2001381562421503</v>
      </c>
      <c r="F22" s="81">
        <v>2</v>
      </c>
    </row>
    <row r="23" spans="1:6" ht="15">
      <c r="A23" s="45"/>
      <c r="B23" s="49" t="s">
        <v>36</v>
      </c>
      <c r="C23" s="44"/>
      <c r="D23" s="122">
        <f>D22</f>
        <v>3503.5</v>
      </c>
      <c r="E23" s="82">
        <f>SUM(E22:E22)</f>
        <v>2.2001381562421503</v>
      </c>
      <c r="F23" s="83"/>
    </row>
    <row r="24" spans="1:6" ht="9" customHeight="1">
      <c r="A24" s="73"/>
      <c r="B24" s="74"/>
      <c r="C24" s="84"/>
      <c r="D24" s="84"/>
      <c r="E24" s="84"/>
      <c r="F24" s="84"/>
    </row>
    <row r="25" spans="1:6" ht="29.25">
      <c r="A25" s="73"/>
      <c r="B25" s="74" t="s">
        <v>125</v>
      </c>
      <c r="C25" s="85">
        <f>D19+D23</f>
        <v>5778.902624951253</v>
      </c>
      <c r="D25" s="85"/>
      <c r="E25" s="85"/>
      <c r="F25" s="84"/>
    </row>
    <row r="26" spans="1:6" ht="15">
      <c r="A26" s="73"/>
      <c r="B26" s="74" t="s">
        <v>126</v>
      </c>
      <c r="C26" s="86">
        <f>E19+E23</f>
        <v>3.6290521382512266</v>
      </c>
      <c r="D26" s="84"/>
      <c r="E26" s="84"/>
      <c r="F26" s="84"/>
    </row>
    <row r="27" spans="1:6" ht="17.25" customHeight="1">
      <c r="A27" s="73"/>
      <c r="B27" s="74"/>
      <c r="C27" s="86"/>
      <c r="D27" s="84"/>
      <c r="E27" s="84"/>
      <c r="F27" s="84"/>
    </row>
    <row r="28" spans="1:6" ht="33" customHeight="1">
      <c r="A28" s="287" t="s">
        <v>44</v>
      </c>
      <c r="B28" s="287"/>
      <c r="C28" s="287"/>
      <c r="D28" s="287"/>
      <c r="E28" s="287"/>
      <c r="F28" s="287"/>
    </row>
    <row r="29" spans="1:6" ht="15">
      <c r="A29" s="36"/>
      <c r="B29" s="36"/>
      <c r="C29" s="36"/>
      <c r="D29" s="41"/>
      <c r="E29" s="41"/>
      <c r="F29" s="41"/>
    </row>
    <row r="30" spans="1:6" ht="71.25">
      <c r="A30" s="42"/>
      <c r="B30" s="43" t="s">
        <v>4</v>
      </c>
      <c r="C30" s="43" t="s">
        <v>5</v>
      </c>
      <c r="D30" s="43" t="s">
        <v>6</v>
      </c>
      <c r="E30" s="43" t="s">
        <v>93</v>
      </c>
      <c r="F30" s="41"/>
    </row>
    <row r="31" spans="1:5" ht="15">
      <c r="A31" s="288" t="s">
        <v>47</v>
      </c>
      <c r="B31" s="288"/>
      <c r="C31" s="288"/>
      <c r="D31" s="46">
        <f>D32</f>
        <v>15.924</v>
      </c>
      <c r="E31" s="46">
        <f>E32</f>
        <v>0.01</v>
      </c>
    </row>
    <row r="32" spans="1:5" ht="30">
      <c r="A32" s="52">
        <v>1</v>
      </c>
      <c r="B32" s="88" t="s">
        <v>51</v>
      </c>
      <c r="C32" s="88" t="s">
        <v>90</v>
      </c>
      <c r="D32" s="55">
        <f>E32*$D$2*12</f>
        <v>15.924</v>
      </c>
      <c r="E32" s="87">
        <v>0.01</v>
      </c>
    </row>
    <row r="33" spans="1:5" ht="32.25" customHeight="1">
      <c r="A33" s="288" t="s">
        <v>53</v>
      </c>
      <c r="B33" s="288"/>
      <c r="C33" s="288"/>
      <c r="D33" s="46">
        <f>D34</f>
        <v>95.54399999999998</v>
      </c>
      <c r="E33" s="46">
        <f>E34</f>
        <v>0.06</v>
      </c>
    </row>
    <row r="34" spans="1:5" ht="15">
      <c r="A34" s="52">
        <v>2</v>
      </c>
      <c r="B34" s="123" t="s">
        <v>17</v>
      </c>
      <c r="C34" s="42" t="s">
        <v>90</v>
      </c>
      <c r="D34" s="55">
        <f>E34*$D$2*12</f>
        <v>95.54399999999998</v>
      </c>
      <c r="E34" s="58">
        <v>0.06</v>
      </c>
    </row>
    <row r="35" spans="1:6" ht="15">
      <c r="A35" s="43"/>
      <c r="B35" s="71" t="s">
        <v>120</v>
      </c>
      <c r="C35" s="71"/>
      <c r="D35" s="72">
        <f>D31+D33</f>
        <v>111.46799999999999</v>
      </c>
      <c r="E35" s="46">
        <f>E31+E33</f>
        <v>0.06999999999999999</v>
      </c>
      <c r="F35" s="39"/>
    </row>
    <row r="36" spans="1:6" ht="15">
      <c r="A36" s="41"/>
      <c r="B36" s="41"/>
      <c r="C36" s="41"/>
      <c r="D36" s="41"/>
      <c r="E36" s="41"/>
      <c r="F36" s="41"/>
    </row>
    <row r="38" spans="2:3" ht="29.25">
      <c r="B38" s="74" t="s">
        <v>294</v>
      </c>
      <c r="C38" s="85">
        <v>5778.902624951253</v>
      </c>
    </row>
  </sheetData>
  <mergeCells count="10">
    <mergeCell ref="A33:C33"/>
    <mergeCell ref="A17:C17"/>
    <mergeCell ref="A31:C31"/>
    <mergeCell ref="A1:E1"/>
    <mergeCell ref="A4:E4"/>
    <mergeCell ref="A7:C7"/>
    <mergeCell ref="A10:C10"/>
    <mergeCell ref="A12:C12"/>
    <mergeCell ref="A15:C15"/>
    <mergeCell ref="A28:F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2008-04-04T12:05:24Z</cp:lastPrinted>
  <dcterms:created xsi:type="dcterms:W3CDTF">2008-01-26T09:28:16Z</dcterms:created>
  <dcterms:modified xsi:type="dcterms:W3CDTF">2008-04-04T13:35:00Z</dcterms:modified>
  <cp:category/>
  <cp:version/>
  <cp:contentType/>
  <cp:contentStatus/>
</cp:coreProperties>
</file>