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_xlnm.Print_Titles" localSheetId="0">'приложение 1'!$12:$12</definedName>
    <definedName name="_xlnm.Print_Titles" localSheetId="2">'приложение 3'!$11:$11</definedName>
    <definedName name="_xlnm.Print_Titles" localSheetId="3">'приложение 4'!$10:$10</definedName>
  </definedNames>
  <calcPr fullCalcOnLoad="1"/>
</workbook>
</file>

<file path=xl/sharedStrings.xml><?xml version="1.0" encoding="utf-8"?>
<sst xmlns="http://schemas.openxmlformats.org/spreadsheetml/2006/main" count="1202" uniqueCount="162">
  <si>
    <t>№ п/п</t>
  </si>
  <si>
    <t>Адрес многоквартирного дома</t>
  </si>
  <si>
    <t xml:space="preserve">Год </t>
  </si>
  <si>
    <t>Площадь помещений МКД</t>
  </si>
  <si>
    <t>Вид ремонта</t>
  </si>
  <si>
    <t xml:space="preserve">Стоимость капитального ремонта,  руб. </t>
  </si>
  <si>
    <t>Плановая дата завершения работ</t>
  </si>
  <si>
    <t>ввода в эксплуатацию</t>
  </si>
  <si>
    <t xml:space="preserve">Всего </t>
  </si>
  <si>
    <t>в том числе жилых помещений, находящихся в собственности граждан</t>
  </si>
  <si>
    <t>Всего</t>
  </si>
  <si>
    <t>с том числе</t>
  </si>
  <si>
    <t xml:space="preserve"> 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</si>
  <si>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</si>
  <si>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</si>
  <si>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</si>
  <si>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чел.</t>
  </si>
  <si>
    <t>руб.</t>
  </si>
  <si>
    <t>Муниципальное образование "Город Саратов"</t>
  </si>
  <si>
    <t>X</t>
  </si>
  <si>
    <t>по проведению капитального ремонта многоквартирных домов</t>
  </si>
  <si>
    <t>Количество жителей, зарегистрированных в МКД на дату утверждения программы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</si>
  <si>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</si>
  <si>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</si>
  <si>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</si>
  <si>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</si>
  <si>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</si>
  <si>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</si>
  <si>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ед.</t>
  </si>
  <si>
    <t xml:space="preserve">РЕЕСТР
МНОГОКВАРТИРНЫХ ДОМОВ ПО ВИДАМ РЕМОНТА                                                                                                                                                                
</t>
  </si>
  <si>
    <t>Планируемые показатели выполнения муниципальной адресной программы</t>
  </si>
  <si>
    <t xml:space="preserve">РЕЕСТР
МНОГОКВАРТИРНЫХ ДОМОВ ПО ВИДАМ РЕМОНТА  (РЕЗЕРВ)                                                                                                                                                                                                
</t>
  </si>
  <si>
    <t>Материал стен</t>
  </si>
  <si>
    <t>Количество этажей</t>
  </si>
  <si>
    <t>Количество подъездов</t>
  </si>
  <si>
    <t>завершение последнего капитального ремонта</t>
  </si>
  <si>
    <t>Общая площадь МКД, всего</t>
  </si>
  <si>
    <t>кв.м</t>
  </si>
  <si>
    <t>Приложение № 2 к Программе</t>
  </si>
  <si>
    <t>всего</t>
  </si>
  <si>
    <t>Приложение № 3 к Программе</t>
  </si>
  <si>
    <t>Приложение № 1 к  Программе</t>
  </si>
  <si>
    <t>Стоимость капитального ремонта ВСЕГО</t>
  </si>
  <si>
    <t>Ремонт внутридомовых инженерных систем</t>
  </si>
  <si>
    <t>кв. 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</si>
  <si>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</si>
  <si>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</si>
  <si>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</si>
  <si>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</si>
  <si>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Приложение № 5 к Программе</t>
  </si>
  <si>
    <t>руб./кв. м</t>
  </si>
  <si>
    <t>Итого по муниципальному образованию "Город Саратов"</t>
  </si>
  <si>
    <t>Установка коллективных (общедомовых) ПУ и УУ</t>
  </si>
  <si>
    <t>Энергетическое обследование дома</t>
  </si>
  <si>
    <t>Ремонт фундаментов</t>
  </si>
  <si>
    <t>куб.м</t>
  </si>
  <si>
    <t>отопление</t>
  </si>
  <si>
    <t>ХВС</t>
  </si>
  <si>
    <t>ГВС</t>
  </si>
  <si>
    <t>электроснабжение</t>
  </si>
  <si>
    <t>Удельная тепловая энергия на отопление и вентиляцию за отопительный период фактический</t>
  </si>
  <si>
    <t>вид</t>
  </si>
  <si>
    <t>ПУ и УУ</t>
  </si>
  <si>
    <t>Адрес МКД</t>
  </si>
  <si>
    <t>Общая площадь МКД</t>
  </si>
  <si>
    <t>ВЫПИСКА ИЗ ТЕХНИЧЕСКОГО ПАСПОРТА МНОГОКВАРТИРНОГО ДОМА</t>
  </si>
  <si>
    <t>Г. Саратов, ул. Новоузенская, д. 149</t>
  </si>
  <si>
    <t>Г. Саратов, ул. Новоузенская, д. 145</t>
  </si>
  <si>
    <t>Г. Саратов, ул. Новоузенская, д. 58/76</t>
  </si>
  <si>
    <t>Г. Саратов, ул. Мира, д. 13</t>
  </si>
  <si>
    <t>Г. Саратов, ул. Кузнечная, д. 11/21</t>
  </si>
  <si>
    <t>Г. Саратов, ул. им. Кутякова И.С., д. 164</t>
  </si>
  <si>
    <t>Г. Саратов, ул. Большая Горная, д. 315</t>
  </si>
  <si>
    <t>Г. Саратов, ул. Аткарская, д. 37</t>
  </si>
  <si>
    <t>Г. Саратов, ул. им. Зарубина В.С., д. 186</t>
  </si>
  <si>
    <t>Г. Саратов, ул. Одесская, д. 2</t>
  </si>
  <si>
    <t>Г. Саратов, ул. Тверская, д. 37</t>
  </si>
  <si>
    <t>центральное</t>
  </si>
  <si>
    <t>от газовых колонок</t>
  </si>
  <si>
    <t>Х</t>
  </si>
  <si>
    <r>
      <t>кВт*ч/м</t>
    </r>
    <r>
      <rPr>
        <vertAlign val="superscript"/>
        <sz val="8"/>
        <rFont val="Times New Roman"/>
        <family val="1"/>
      </rPr>
      <t>2</t>
    </r>
  </si>
  <si>
    <t>Г. Саратов, ул. им. Разина С.Т., д. 50</t>
  </si>
  <si>
    <t>кирпичные</t>
  </si>
  <si>
    <t>панельные</t>
  </si>
  <si>
    <t>Г. Саратов, ул. Саперная, д. 3</t>
  </si>
  <si>
    <t>Г. Саратов, ул. Саперная, д. 4 А</t>
  </si>
  <si>
    <t>Г. Саратов, ул. Тверская, д. 26</t>
  </si>
  <si>
    <t>Г. Саратов, ул. Тверская, д. 40</t>
  </si>
  <si>
    <t>Г. Саратов, ул. Саперная, д. 6 А</t>
  </si>
  <si>
    <t>Г. Саратов, ул. Мира, д. 9</t>
  </si>
  <si>
    <t>Г. Саратов, просп. им. 50 лет Октября, д. 132</t>
  </si>
  <si>
    <t>Г. Саратов, ул. Мира, д. 11</t>
  </si>
  <si>
    <t>Г. Саратов, ул. Мира, д. 9 А</t>
  </si>
  <si>
    <t>Г. Саратов, ул. Международная, д. 17</t>
  </si>
  <si>
    <t>Г. Саратов, ул. Новоузенская, д. 51/63</t>
  </si>
  <si>
    <t>Г. Саратов, ул. Кузнечная, д. 2/12</t>
  </si>
  <si>
    <t>Г. Саратов, ул. Соборная, д. 14</t>
  </si>
  <si>
    <t>Г. Саратов, ул. Луговая, д. 37</t>
  </si>
  <si>
    <t>Г. Саратов, ул. им. Посадского И.Н., д. 235/243</t>
  </si>
  <si>
    <t>Г. Саратов, 1-й  Весенний пр., д. 3</t>
  </si>
  <si>
    <t>Г. Саратов, ул. им. Белоглинского В.Г., д. 75/81</t>
  </si>
  <si>
    <t>Г. Саратов, ул. им. Чемодурова В.И.,  д. 4</t>
  </si>
  <si>
    <t>Г. Саратов, ул. им. Чайковского П.И., д. 6</t>
  </si>
  <si>
    <t>1957-1959</t>
  </si>
  <si>
    <t>Г. Саратов, ул. Федоровская, д. 1</t>
  </si>
  <si>
    <t>Г. Саратов, ул. Советская, д. 25 А</t>
  </si>
  <si>
    <t>Г. Саратов, ул. им. Радищева А.Н., д. 11</t>
  </si>
  <si>
    <t>Г. Саратов, ул. Большая Садовая, д. 95</t>
  </si>
  <si>
    <t>Г. Саратов, ул. 1-я Беговая, д. 5</t>
  </si>
  <si>
    <t>Г. Саратов, ул. 2-я Садовая, д. 81</t>
  </si>
  <si>
    <t>Г. Саратов, ул. Огородная, д. 225</t>
  </si>
  <si>
    <t>Г. Саратов, ул. Огородная, д. 225 А</t>
  </si>
  <si>
    <t>Г. Саратов, ул. Огородная, д. 220</t>
  </si>
  <si>
    <t>Г. Саратов, 7-й Динамовский пр., д. 47</t>
  </si>
  <si>
    <t>Г. Саратов, просп. им. 50 лет Октября, д. 58</t>
  </si>
  <si>
    <t>Г. Саратов, ул. Гвардейская, д. 16</t>
  </si>
  <si>
    <t>Г. Саратов, ул. Алексеевская, д. 3</t>
  </si>
  <si>
    <t>Г. Саратов, 11-й Динамовский пр., д. 3</t>
  </si>
  <si>
    <t>Г. Саратов, просп. Строителей, д. 86</t>
  </si>
  <si>
    <t>Г. Саратов, ул. им. Вавилова Н.И., д. 15/17</t>
  </si>
  <si>
    <t>Г. Саратов, ул. Гвардейская, д. 24 А</t>
  </si>
  <si>
    <t>Г. Саратов, ул. Гвардейская, д. 24 Б</t>
  </si>
  <si>
    <t>Г. Саратов, ул. им. Космодемьянской З.А., д. 22</t>
  </si>
  <si>
    <t>Г. Саратов, ул. им. Чернышевского Н.Г., д. 12</t>
  </si>
  <si>
    <t>Г. Саратов, ул. Томская, д. 15 А</t>
  </si>
  <si>
    <t>Г. Саратов, ул. им. Азина В.М., д. 17 А</t>
  </si>
  <si>
    <t>Г. Саратов, ул. Верхоянская, д. 4</t>
  </si>
  <si>
    <t>Г. Саратов, ул. Бережная, д. 14</t>
  </si>
  <si>
    <t>блочные</t>
  </si>
  <si>
    <t>Г. Саратов, ул. Новоузенская, д. 24/32</t>
  </si>
  <si>
    <t>Г. Саратов, ул. Большая Садовая, д. 175/183</t>
  </si>
  <si>
    <t>Г. Саратов, ул. им. Чернышевского Н.Г., д. 129 А</t>
  </si>
  <si>
    <t>Г. Саратов, Интернациональный пр., д. 9</t>
  </si>
  <si>
    <t>Г. Саратов, Интернациональный пр., д. 7</t>
  </si>
  <si>
    <t>Г. Саратов, ул. им. Орджоникидзе Г.К., д. 2 А</t>
  </si>
  <si>
    <t>Г. Саратов, просп. Энтузиастов, д. 26 А</t>
  </si>
  <si>
    <t>Г. Саратов, просп. Энтузиастов, д. 24</t>
  </si>
  <si>
    <t>Г. Саратов, ул. им. Пономарева П.Т., д. 20</t>
  </si>
  <si>
    <t>Г. Саратов, просп. Энтузиастов, д. 28</t>
  </si>
  <si>
    <t>ПУ</t>
  </si>
  <si>
    <t>отсутствует</t>
  </si>
  <si>
    <t>Г. Саратов, просп. им. 50 лет Октября, д. 136</t>
  </si>
  <si>
    <t>Г. Саратов, просп. им. 50 лет Октября, д. 126</t>
  </si>
  <si>
    <t>Г. Саратов, ул. Мира, д. 11 А</t>
  </si>
  <si>
    <t>Г. Саратов, ул. Большая Горная, д. 313</t>
  </si>
  <si>
    <t>Г. Саратов, ул. им. Загороднева В.И., д. 5 А</t>
  </si>
  <si>
    <t>Г. Саратов, ул. Одесская, д. 26</t>
  </si>
  <si>
    <t>"КОМП"</t>
  </si>
  <si>
    <t>-</t>
  </si>
  <si>
    <t xml:space="preserve">РЕЗЕРВНЫЙ ПЕРЕЧЕНЬ 
МНОГОКВАРТИРНЫХ ДОМОВ В ОТНОШЕНИИ КОТОРЫХ ПЛАНИРУЕТСЯ ПРЕДОСТАВЛЕНИЕ ФИНАНСОВОЙ ПОДДЕРЖКИ В РАМКАХ 
МУНИЦИПАЛЬНОЙ АДРЕСНОЙ ПРОГРАММЫ ПО ПРОВЕДЕНИЮ КАПИТАЛЬНОГО РЕМОНТА МНОГОКВАРТИРНЫХ ДОМОВ НА ТЕРРИТОРИИ МУНИЦИПАЛЬНОГО ОБРАЗОВАНИЯ "ГОРОД САРАТОВ" НА 2011 ГОД                                                                                                                                                                                                
</t>
  </si>
  <si>
    <t xml:space="preserve">ПЕРЕЧЕНЬ 
МНОГОКВАРТИРНЫХ ДОМОВ В ОТНОШЕНИИ КОТОРЫХ ПЛАНИРУЕТСЯ ПРЕДОСТАВЛЕНИЕ ФИНАНСОВОЙ ПОДДЕРЖКИ В РАМКАХ 
МУНИЦИПАЛЬНОЙ АДРЕСНОЙ ПРОГРАММЫ ПО ПРОВЕДЕНИЮ КАПИТАЛЬНОГО РЕМОНТА МНОГОКВАРТИРНЫХ ДОМОВ НА ТЕРРИТОРИИ МУНИЦИПАЛЬНОГО ОБРАЗОВАНИЯ "ГОРОД САРАТОВ" НА 2011 ГОД                                                                                                                                                                                                
</t>
  </si>
  <si>
    <t>Приложение № 6 к Программе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</si>
  <si>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</si>
  <si>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</si>
  <si>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 xml:space="preserve">Всего: </t>
  </si>
  <si>
    <t>всего:</t>
  </si>
  <si>
    <t>в том числе</t>
  </si>
  <si>
    <t>Стоимость капитального ремонта,  ВСЕГО</t>
  </si>
  <si>
    <t>10.2011</t>
  </si>
  <si>
    <t>ЧАСТ</t>
  </si>
  <si>
    <t xml:space="preserve">Наименование муниципального образования </t>
  </si>
  <si>
    <t>Приложение № 4 к Программе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</si>
</sst>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[$-FC19]d\ mmmm\ yyyy\ &quot;г.&quot;"/>
  </numFmts>
  <fonts count="4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3" fontId="3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3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31" xfId="0" applyFont="1" applyFill="1" applyBorder="1" applyAlignment="1">
      <alignment/>
    </xf>
    <xf numFmtId="4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wrapText="1"/>
    </xf>
    <xf numFmtId="4" fontId="3" fillId="0" borderId="33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indent="2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4" fontId="3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1" fillId="0" borderId="2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49" fontId="1" fillId="0" borderId="33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vertical="center" textRotation="90" wrapText="1"/>
    </xf>
    <xf numFmtId="3" fontId="1" fillId="0" borderId="35" xfId="0" applyNumberFormat="1" applyFont="1" applyFill="1" applyBorder="1" applyAlignment="1">
      <alignment horizontal="center" vertical="center" textRotation="90" wrapText="1"/>
    </xf>
    <xf numFmtId="3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36" xfId="0" applyFont="1" applyFill="1" applyBorder="1" applyAlignment="1">
      <alignment horizontal="center" vertical="center" textRotation="90"/>
    </xf>
    <xf numFmtId="0" fontId="1" fillId="0" borderId="2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2" fontId="1" fillId="0" borderId="35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3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3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1" fillId="0" borderId="48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49" xfId="0" applyFont="1" applyFill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33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horizontal="center" vertical="center" textRotation="90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3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textRotation="90" wrapText="1"/>
    </xf>
    <xf numFmtId="2" fontId="1" fillId="0" borderId="53" xfId="0" applyNumberFormat="1" applyFont="1" applyFill="1" applyBorder="1" applyAlignment="1">
      <alignment horizontal="left" vertical="center" wrapText="1"/>
    </xf>
    <xf numFmtId="2" fontId="1" fillId="0" borderId="5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zoomScalePageLayoutView="0" workbookViewId="0" topLeftCell="G97">
      <selection activeCell="B53" sqref="A53:IV53"/>
    </sheetView>
  </sheetViews>
  <sheetFormatPr defaultColWidth="9.00390625" defaultRowHeight="12.75"/>
  <cols>
    <col min="1" max="1" width="6.25390625" style="5" hidden="1" customWidth="1"/>
    <col min="2" max="2" width="4.375" style="1" customWidth="1"/>
    <col min="3" max="3" width="41.625" style="2" customWidth="1"/>
    <col min="4" max="4" width="8.75390625" style="3" customWidth="1"/>
    <col min="5" max="5" width="6.75390625" style="3" customWidth="1"/>
    <col min="6" max="6" width="9.75390625" style="3" customWidth="1"/>
    <col min="7" max="8" width="5.00390625" style="3" customWidth="1"/>
    <col min="9" max="9" width="9.75390625" style="4" customWidth="1"/>
    <col min="10" max="11" width="10.375" style="4" customWidth="1"/>
    <col min="12" max="12" width="8.875" style="3" customWidth="1"/>
    <col min="13" max="13" width="7.375" style="5" customWidth="1"/>
    <col min="14" max="14" width="9.75390625" style="6" customWidth="1"/>
    <col min="15" max="18" width="9.75390625" style="5" customWidth="1"/>
    <col min="19" max="20" width="8.375" style="15" customWidth="1"/>
    <col min="21" max="21" width="8.00390625" style="3" customWidth="1"/>
    <col min="22" max="16384" width="9.125" style="5" customWidth="1"/>
  </cols>
  <sheetData>
    <row r="1" spans="2:21" ht="12.75" customHeight="1">
      <c r="B1" s="7"/>
      <c r="C1" s="8"/>
      <c r="D1" s="9"/>
      <c r="E1" s="9"/>
      <c r="F1" s="9"/>
      <c r="G1" s="9"/>
      <c r="H1" s="9"/>
      <c r="I1" s="10"/>
      <c r="J1" s="10"/>
      <c r="K1" s="10"/>
      <c r="L1" s="9"/>
      <c r="M1" s="11"/>
      <c r="N1" s="12"/>
      <c r="O1" s="50"/>
      <c r="P1" s="50"/>
      <c r="Q1" s="50"/>
      <c r="R1" s="50"/>
      <c r="S1" s="50"/>
      <c r="T1" s="50"/>
      <c r="U1" s="82"/>
    </row>
    <row r="2" spans="2:21" ht="12.75" customHeight="1">
      <c r="B2" s="7"/>
      <c r="C2" s="8"/>
      <c r="D2" s="9"/>
      <c r="E2" s="9"/>
      <c r="F2" s="9"/>
      <c r="G2" s="9"/>
      <c r="H2" s="9"/>
      <c r="I2" s="10"/>
      <c r="J2" s="10"/>
      <c r="K2" s="10"/>
      <c r="L2" s="9"/>
      <c r="M2" s="11"/>
      <c r="N2" s="12"/>
      <c r="O2" s="50"/>
      <c r="P2" s="50"/>
      <c r="Q2" s="50"/>
      <c r="R2" s="200" t="s">
        <v>41</v>
      </c>
      <c r="S2" s="200"/>
      <c r="T2" s="200"/>
      <c r="U2" s="200"/>
    </row>
    <row r="3" spans="2:17" ht="12.75" customHeight="1">
      <c r="B3" s="7"/>
      <c r="C3" s="8"/>
      <c r="D3" s="9"/>
      <c r="E3" s="9"/>
      <c r="F3" s="9"/>
      <c r="G3" s="9"/>
      <c r="H3" s="9"/>
      <c r="I3" s="10"/>
      <c r="J3" s="10"/>
      <c r="K3" s="10"/>
      <c r="L3" s="9"/>
      <c r="M3" s="11"/>
      <c r="N3" s="12"/>
      <c r="O3" s="13"/>
      <c r="P3" s="13"/>
      <c r="Q3" s="13"/>
    </row>
    <row r="4" spans="2:21" ht="15.75" customHeight="1">
      <c r="B4" s="198" t="s">
        <v>150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</row>
    <row r="5" spans="2:21" ht="15.75" customHeight="1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</row>
    <row r="6" spans="2:21" ht="15.75" customHeight="1" thickBo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</row>
    <row r="7" spans="2:21" ht="12" customHeight="1">
      <c r="B7" s="191" t="s">
        <v>0</v>
      </c>
      <c r="C7" s="194" t="s">
        <v>1</v>
      </c>
      <c r="D7" s="197" t="s">
        <v>2</v>
      </c>
      <c r="E7" s="197"/>
      <c r="F7" s="188" t="s">
        <v>32</v>
      </c>
      <c r="G7" s="188" t="s">
        <v>33</v>
      </c>
      <c r="H7" s="188" t="s">
        <v>34</v>
      </c>
      <c r="I7" s="201" t="s">
        <v>36</v>
      </c>
      <c r="J7" s="202" t="s">
        <v>3</v>
      </c>
      <c r="K7" s="202"/>
      <c r="L7" s="188" t="s">
        <v>21</v>
      </c>
      <c r="M7" s="188" t="s">
        <v>4</v>
      </c>
      <c r="N7" s="197" t="s">
        <v>5</v>
      </c>
      <c r="O7" s="197"/>
      <c r="P7" s="197"/>
      <c r="Q7" s="197"/>
      <c r="R7" s="197"/>
      <c r="S7" s="173" t="s">
        <v>152</v>
      </c>
      <c r="T7" s="173" t="s">
        <v>153</v>
      </c>
      <c r="U7" s="176" t="s">
        <v>6</v>
      </c>
    </row>
    <row r="8" spans="2:21" ht="12.75" customHeight="1">
      <c r="B8" s="192"/>
      <c r="C8" s="195"/>
      <c r="D8" s="179" t="s">
        <v>7</v>
      </c>
      <c r="E8" s="179" t="s">
        <v>35</v>
      </c>
      <c r="F8" s="180"/>
      <c r="G8" s="180"/>
      <c r="H8" s="180"/>
      <c r="I8" s="184"/>
      <c r="J8" s="182" t="s">
        <v>154</v>
      </c>
      <c r="K8" s="183" t="s">
        <v>9</v>
      </c>
      <c r="L8" s="180"/>
      <c r="M8" s="180"/>
      <c r="N8" s="186" t="s">
        <v>155</v>
      </c>
      <c r="O8" s="187" t="s">
        <v>156</v>
      </c>
      <c r="P8" s="187"/>
      <c r="Q8" s="187"/>
      <c r="R8" s="187"/>
      <c r="S8" s="174"/>
      <c r="T8" s="174"/>
      <c r="U8" s="177"/>
    </row>
    <row r="9" spans="2:21" ht="30.75" customHeight="1">
      <c r="B9" s="192"/>
      <c r="C9" s="195"/>
      <c r="D9" s="180"/>
      <c r="E9" s="180"/>
      <c r="F9" s="180"/>
      <c r="G9" s="180"/>
      <c r="H9" s="180"/>
      <c r="I9" s="184"/>
      <c r="J9" s="182"/>
      <c r="K9" s="184"/>
      <c r="L9" s="180"/>
      <c r="M9" s="180"/>
      <c r="N9" s="186"/>
      <c r="O9" s="189" t="s">
        <v>12</v>
      </c>
      <c r="P9" s="189" t="s">
        <v>13</v>
      </c>
      <c r="Q9" s="189" t="s">
        <v>14</v>
      </c>
      <c r="R9" s="189" t="s">
        <v>15</v>
      </c>
      <c r="S9" s="174"/>
      <c r="T9" s="174"/>
      <c r="U9" s="177"/>
    </row>
    <row r="10" spans="2:21" ht="105" customHeight="1">
      <c r="B10" s="192"/>
      <c r="C10" s="195"/>
      <c r="D10" s="180"/>
      <c r="E10" s="180"/>
      <c r="F10" s="180"/>
      <c r="G10" s="180"/>
      <c r="H10" s="180"/>
      <c r="I10" s="185"/>
      <c r="J10" s="182"/>
      <c r="K10" s="185"/>
      <c r="L10" s="190"/>
      <c r="M10" s="180"/>
      <c r="N10" s="186"/>
      <c r="O10" s="189"/>
      <c r="P10" s="189"/>
      <c r="Q10" s="189"/>
      <c r="R10" s="189"/>
      <c r="S10" s="175"/>
      <c r="T10" s="175"/>
      <c r="U10" s="177"/>
    </row>
    <row r="11" spans="2:21" ht="19.5" customHeight="1" thickBot="1">
      <c r="B11" s="193"/>
      <c r="C11" s="196"/>
      <c r="D11" s="181"/>
      <c r="E11" s="181"/>
      <c r="F11" s="181"/>
      <c r="G11" s="181"/>
      <c r="H11" s="181"/>
      <c r="I11" s="52" t="s">
        <v>44</v>
      </c>
      <c r="J11" s="52" t="s">
        <v>44</v>
      </c>
      <c r="K11" s="52" t="s">
        <v>44</v>
      </c>
      <c r="L11" s="51" t="s">
        <v>16</v>
      </c>
      <c r="M11" s="181"/>
      <c r="N11" s="18" t="s">
        <v>17</v>
      </c>
      <c r="O11" s="19" t="s">
        <v>17</v>
      </c>
      <c r="P11" s="19" t="s">
        <v>17</v>
      </c>
      <c r="Q11" s="19" t="s">
        <v>17</v>
      </c>
      <c r="R11" s="19" t="s">
        <v>17</v>
      </c>
      <c r="S11" s="18" t="s">
        <v>50</v>
      </c>
      <c r="T11" s="18" t="s">
        <v>50</v>
      </c>
      <c r="U11" s="178"/>
    </row>
    <row r="12" spans="2:21" ht="12.75" thickBot="1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20">
        <v>8</v>
      </c>
      <c r="J12" s="20">
        <v>9</v>
      </c>
      <c r="K12" s="20">
        <v>10</v>
      </c>
      <c r="L12" s="17">
        <v>11</v>
      </c>
      <c r="M12" s="21">
        <v>12</v>
      </c>
      <c r="N12" s="22">
        <v>13</v>
      </c>
      <c r="O12" s="17">
        <v>14</v>
      </c>
      <c r="P12" s="17">
        <v>15</v>
      </c>
      <c r="Q12" s="17">
        <v>16</v>
      </c>
      <c r="R12" s="17">
        <v>17</v>
      </c>
      <c r="S12" s="23">
        <v>18</v>
      </c>
      <c r="T12" s="23">
        <v>19</v>
      </c>
      <c r="U12" s="24">
        <v>20</v>
      </c>
    </row>
    <row r="13" spans="2:21" s="25" customFormat="1" ht="12.75" customHeight="1" thickBot="1">
      <c r="B13" s="170" t="s">
        <v>18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2"/>
    </row>
    <row r="14" spans="1:21" s="25" customFormat="1" ht="12.75" customHeight="1">
      <c r="A14" s="113">
        <v>53</v>
      </c>
      <c r="B14" s="92">
        <v>1</v>
      </c>
      <c r="C14" s="76" t="s">
        <v>90</v>
      </c>
      <c r="D14" s="57">
        <v>1963</v>
      </c>
      <c r="E14" s="57" t="s">
        <v>148</v>
      </c>
      <c r="F14" s="77" t="s">
        <v>82</v>
      </c>
      <c r="G14" s="57">
        <v>5</v>
      </c>
      <c r="H14" s="57">
        <v>5</v>
      </c>
      <c r="I14" s="59">
        <v>6403.42</v>
      </c>
      <c r="J14" s="59">
        <f>3989.3+241.3</f>
        <v>4230.6</v>
      </c>
      <c r="K14" s="59">
        <v>3527.6</v>
      </c>
      <c r="L14" s="57">
        <v>201</v>
      </c>
      <c r="M14" s="153" t="s">
        <v>159</v>
      </c>
      <c r="N14" s="48">
        <v>1413657</v>
      </c>
      <c r="O14" s="28">
        <v>978222</v>
      </c>
      <c r="P14" s="48">
        <v>182376</v>
      </c>
      <c r="Q14" s="48">
        <v>182376</v>
      </c>
      <c r="R14" s="28">
        <v>70683</v>
      </c>
      <c r="S14" s="59">
        <f>N14/J14</f>
        <v>334.1504751099135</v>
      </c>
      <c r="T14" s="59">
        <v>4359.37</v>
      </c>
      <c r="U14" s="85" t="s">
        <v>158</v>
      </c>
    </row>
    <row r="15" spans="1:21" s="25" customFormat="1" ht="12.75" customHeight="1">
      <c r="A15" s="113">
        <v>222</v>
      </c>
      <c r="B15" s="83">
        <v>2</v>
      </c>
      <c r="C15" s="98" t="s">
        <v>114</v>
      </c>
      <c r="D15" s="26">
        <v>1976</v>
      </c>
      <c r="E15" s="57" t="s">
        <v>148</v>
      </c>
      <c r="F15" s="111" t="s">
        <v>83</v>
      </c>
      <c r="G15" s="26">
        <v>9</v>
      </c>
      <c r="H15" s="26">
        <v>4</v>
      </c>
      <c r="I15" s="45">
        <f>11337.41+526.5+792.6+554+64+16.9+1627.9</f>
        <v>14919.31</v>
      </c>
      <c r="J15" s="45">
        <f>11337.41+526.5</f>
        <v>11863.91</v>
      </c>
      <c r="K15" s="45">
        <v>10637.81</v>
      </c>
      <c r="L15" s="26">
        <v>484</v>
      </c>
      <c r="M15" s="153" t="s">
        <v>159</v>
      </c>
      <c r="N15" s="28">
        <v>1169146</v>
      </c>
      <c r="O15" s="28">
        <v>809025</v>
      </c>
      <c r="P15" s="28">
        <v>150832</v>
      </c>
      <c r="Q15" s="28">
        <v>150832</v>
      </c>
      <c r="R15" s="28">
        <v>58457</v>
      </c>
      <c r="S15" s="59">
        <f aca="true" t="shared" si="0" ref="S15:S78">N15/J15</f>
        <v>98.54643199417393</v>
      </c>
      <c r="T15" s="59">
        <v>4359.37</v>
      </c>
      <c r="U15" s="85" t="s">
        <v>158</v>
      </c>
    </row>
    <row r="16" spans="1:21" s="25" customFormat="1" ht="12.75" customHeight="1">
      <c r="A16" s="113">
        <v>344</v>
      </c>
      <c r="B16" s="83">
        <v>3</v>
      </c>
      <c r="C16" s="98" t="s">
        <v>118</v>
      </c>
      <c r="D16" s="26">
        <v>1974</v>
      </c>
      <c r="E16" s="57" t="s">
        <v>148</v>
      </c>
      <c r="F16" s="111" t="s">
        <v>82</v>
      </c>
      <c r="G16" s="26">
        <v>9</v>
      </c>
      <c r="H16" s="26">
        <v>1</v>
      </c>
      <c r="I16" s="45">
        <f>2254.1+107.5+141.5+375.2</f>
        <v>2878.2999999999997</v>
      </c>
      <c r="J16" s="45">
        <v>2254.1</v>
      </c>
      <c r="K16" s="45">
        <v>2254.1</v>
      </c>
      <c r="L16" s="26">
        <v>104</v>
      </c>
      <c r="M16" s="153" t="s">
        <v>159</v>
      </c>
      <c r="N16" s="28">
        <v>1350000</v>
      </c>
      <c r="O16" s="28">
        <v>934172</v>
      </c>
      <c r="P16" s="28">
        <v>174164</v>
      </c>
      <c r="Q16" s="28">
        <v>174164</v>
      </c>
      <c r="R16" s="28">
        <v>67500</v>
      </c>
      <c r="S16" s="59">
        <f t="shared" si="0"/>
        <v>598.9086553391597</v>
      </c>
      <c r="T16" s="59">
        <v>4359.37</v>
      </c>
      <c r="U16" s="85" t="s">
        <v>158</v>
      </c>
    </row>
    <row r="17" spans="1:21" s="25" customFormat="1" ht="12.75" customHeight="1">
      <c r="A17" s="113">
        <v>85</v>
      </c>
      <c r="B17" s="83">
        <v>4</v>
      </c>
      <c r="C17" s="29" t="s">
        <v>136</v>
      </c>
      <c r="D17" s="26">
        <v>1959</v>
      </c>
      <c r="E17" s="57" t="s">
        <v>148</v>
      </c>
      <c r="F17" s="111" t="s">
        <v>82</v>
      </c>
      <c r="G17" s="26">
        <v>4</v>
      </c>
      <c r="H17" s="26">
        <v>3</v>
      </c>
      <c r="I17" s="45">
        <f>2486.43+256.8+261.1+675+1016</f>
        <v>4695.33</v>
      </c>
      <c r="J17" s="45">
        <f>2486.43+256.8</f>
        <v>2743.23</v>
      </c>
      <c r="K17" s="45">
        <v>2026.12</v>
      </c>
      <c r="L17" s="26">
        <v>95</v>
      </c>
      <c r="M17" s="153" t="s">
        <v>159</v>
      </c>
      <c r="N17" s="28">
        <v>3052091</v>
      </c>
      <c r="O17" s="28">
        <v>2111986</v>
      </c>
      <c r="P17" s="28">
        <v>393750</v>
      </c>
      <c r="Q17" s="28">
        <v>393750</v>
      </c>
      <c r="R17" s="28">
        <v>152605</v>
      </c>
      <c r="S17" s="59">
        <f t="shared" si="0"/>
        <v>1112.5902676771543</v>
      </c>
      <c r="T17" s="59">
        <v>4359.37</v>
      </c>
      <c r="U17" s="85" t="s">
        <v>158</v>
      </c>
    </row>
    <row r="18" spans="1:21" s="25" customFormat="1" ht="12.75" customHeight="1">
      <c r="A18" s="113">
        <v>81</v>
      </c>
      <c r="B18" s="83">
        <v>5</v>
      </c>
      <c r="C18" s="29" t="s">
        <v>135</v>
      </c>
      <c r="D18" s="26">
        <v>1955</v>
      </c>
      <c r="E18" s="57" t="s">
        <v>148</v>
      </c>
      <c r="F18" s="111" t="s">
        <v>82</v>
      </c>
      <c r="G18" s="26">
        <v>5</v>
      </c>
      <c r="H18" s="26">
        <v>8</v>
      </c>
      <c r="I18" s="45">
        <f>5236.3+701.6+473+1719.53+1802</f>
        <v>9932.43</v>
      </c>
      <c r="J18" s="45">
        <f>5236.3+701.6</f>
        <v>5937.900000000001</v>
      </c>
      <c r="K18" s="45">
        <v>4478.6</v>
      </c>
      <c r="L18" s="26">
        <v>261</v>
      </c>
      <c r="M18" s="153" t="s">
        <v>159</v>
      </c>
      <c r="N18" s="28">
        <v>2804995</v>
      </c>
      <c r="O18" s="28">
        <v>1941001</v>
      </c>
      <c r="P18" s="28">
        <v>361872</v>
      </c>
      <c r="Q18" s="28">
        <v>361872</v>
      </c>
      <c r="R18" s="28">
        <v>140250</v>
      </c>
      <c r="S18" s="59">
        <f t="shared" si="0"/>
        <v>472.3883864665959</v>
      </c>
      <c r="T18" s="59">
        <v>4359.37</v>
      </c>
      <c r="U18" s="85" t="s">
        <v>158</v>
      </c>
    </row>
    <row r="19" spans="1:21" s="25" customFormat="1" ht="12.75" customHeight="1">
      <c r="A19" s="113">
        <v>109</v>
      </c>
      <c r="B19" s="83">
        <v>6</v>
      </c>
      <c r="C19" s="29" t="s">
        <v>138</v>
      </c>
      <c r="D19" s="26">
        <v>1955</v>
      </c>
      <c r="E19" s="57" t="s">
        <v>148</v>
      </c>
      <c r="F19" s="111" t="s">
        <v>82</v>
      </c>
      <c r="G19" s="26">
        <v>4</v>
      </c>
      <c r="H19" s="26">
        <v>3</v>
      </c>
      <c r="I19" s="45">
        <f>2595.8+661.8+319.1+1021.7+1022</f>
        <v>5620.400000000001</v>
      </c>
      <c r="J19" s="45">
        <f>2595.8+661.8</f>
        <v>3257.6000000000004</v>
      </c>
      <c r="K19" s="45">
        <v>2084.95</v>
      </c>
      <c r="L19" s="26">
        <v>106</v>
      </c>
      <c r="M19" s="153" t="s">
        <v>159</v>
      </c>
      <c r="N19" s="28">
        <v>1318644</v>
      </c>
      <c r="O19" s="28">
        <v>912476</v>
      </c>
      <c r="P19" s="28">
        <v>170118</v>
      </c>
      <c r="Q19" s="28">
        <v>170118</v>
      </c>
      <c r="R19" s="28">
        <v>65932</v>
      </c>
      <c r="S19" s="59">
        <f t="shared" si="0"/>
        <v>404.7900294695481</v>
      </c>
      <c r="T19" s="59">
        <v>4359.37</v>
      </c>
      <c r="U19" s="85" t="s">
        <v>158</v>
      </c>
    </row>
    <row r="20" spans="1:21" s="25" customFormat="1" ht="12.75" customHeight="1">
      <c r="A20" s="113">
        <v>131</v>
      </c>
      <c r="B20" s="83">
        <v>7</v>
      </c>
      <c r="C20" s="29" t="s">
        <v>99</v>
      </c>
      <c r="D20" s="26">
        <v>1967</v>
      </c>
      <c r="E20" s="57" t="s">
        <v>148</v>
      </c>
      <c r="F20" s="111" t="s">
        <v>83</v>
      </c>
      <c r="G20" s="26">
        <v>5</v>
      </c>
      <c r="H20" s="26">
        <v>4</v>
      </c>
      <c r="I20" s="45">
        <f>3548.75+267.5+675.4</f>
        <v>4491.65</v>
      </c>
      <c r="J20" s="45">
        <v>3548.75</v>
      </c>
      <c r="K20" s="45">
        <v>3548.75</v>
      </c>
      <c r="L20" s="26">
        <v>160</v>
      </c>
      <c r="M20" s="153" t="s">
        <v>159</v>
      </c>
      <c r="N20" s="28">
        <v>1413595</v>
      </c>
      <c r="O20" s="28">
        <v>978179</v>
      </c>
      <c r="P20" s="28">
        <v>182368</v>
      </c>
      <c r="Q20" s="28">
        <v>182368</v>
      </c>
      <c r="R20" s="28">
        <v>70680</v>
      </c>
      <c r="S20" s="59">
        <f t="shared" si="0"/>
        <v>398.3360338147235</v>
      </c>
      <c r="T20" s="59">
        <v>4359.37</v>
      </c>
      <c r="U20" s="85" t="s">
        <v>158</v>
      </c>
    </row>
    <row r="21" spans="1:21" s="25" customFormat="1" ht="12.75" customHeight="1">
      <c r="A21" s="113">
        <v>325</v>
      </c>
      <c r="B21" s="83">
        <v>8</v>
      </c>
      <c r="C21" s="29" t="s">
        <v>117</v>
      </c>
      <c r="D21" s="26">
        <v>1980</v>
      </c>
      <c r="E21" s="57" t="s">
        <v>148</v>
      </c>
      <c r="F21" s="111" t="s">
        <v>83</v>
      </c>
      <c r="G21" s="26">
        <v>5</v>
      </c>
      <c r="H21" s="26">
        <v>6</v>
      </c>
      <c r="I21" s="45">
        <f>3986.7+261.1+406.5+172.5+950</f>
        <v>5776.8</v>
      </c>
      <c r="J21" s="45">
        <f>3986.7+261.1</f>
        <v>4247.8</v>
      </c>
      <c r="K21" s="45">
        <v>3020.95</v>
      </c>
      <c r="L21" s="26">
        <v>224</v>
      </c>
      <c r="M21" s="153" t="s">
        <v>159</v>
      </c>
      <c r="N21" s="28">
        <v>873092</v>
      </c>
      <c r="O21" s="28">
        <v>604161</v>
      </c>
      <c r="P21" s="28">
        <v>112638</v>
      </c>
      <c r="Q21" s="28">
        <v>112638</v>
      </c>
      <c r="R21" s="28">
        <v>43655</v>
      </c>
      <c r="S21" s="59">
        <f t="shared" si="0"/>
        <v>205.5398088422242</v>
      </c>
      <c r="T21" s="59">
        <v>4359.37</v>
      </c>
      <c r="U21" s="85" t="s">
        <v>158</v>
      </c>
    </row>
    <row r="22" spans="1:21" s="25" customFormat="1" ht="12.75" customHeight="1">
      <c r="A22" s="113">
        <v>216</v>
      </c>
      <c r="B22" s="83">
        <v>9</v>
      </c>
      <c r="C22" s="98" t="s">
        <v>113</v>
      </c>
      <c r="D22" s="26">
        <v>1994</v>
      </c>
      <c r="E22" s="57" t="s">
        <v>148</v>
      </c>
      <c r="F22" s="111" t="s">
        <v>82</v>
      </c>
      <c r="G22" s="26">
        <v>9</v>
      </c>
      <c r="H22" s="26">
        <v>4</v>
      </c>
      <c r="I22" s="45">
        <f>7431.48+540.7+497.7+432.2+48+1176</f>
        <v>10126.08</v>
      </c>
      <c r="J22" s="45">
        <f>7431.48+540.7</f>
        <v>7972.179999999999</v>
      </c>
      <c r="K22" s="45">
        <v>6612.53</v>
      </c>
      <c r="L22" s="26">
        <v>347</v>
      </c>
      <c r="M22" s="153" t="s">
        <v>159</v>
      </c>
      <c r="N22" s="28">
        <v>1087873</v>
      </c>
      <c r="O22" s="28">
        <v>752787</v>
      </c>
      <c r="P22" s="28">
        <v>140346</v>
      </c>
      <c r="Q22" s="28">
        <v>140346</v>
      </c>
      <c r="R22" s="28">
        <v>54394</v>
      </c>
      <c r="S22" s="59">
        <f t="shared" si="0"/>
        <v>136.45865999011565</v>
      </c>
      <c r="T22" s="59">
        <v>4359.37</v>
      </c>
      <c r="U22" s="85" t="s">
        <v>158</v>
      </c>
    </row>
    <row r="23" spans="1:21" s="25" customFormat="1" ht="12.75" customHeight="1">
      <c r="A23" s="26">
        <v>276</v>
      </c>
      <c r="B23" s="83">
        <v>10</v>
      </c>
      <c r="C23" s="29" t="s">
        <v>133</v>
      </c>
      <c r="D23" s="26">
        <v>1953</v>
      </c>
      <c r="E23" s="57" t="s">
        <v>148</v>
      </c>
      <c r="F23" s="111" t="s">
        <v>82</v>
      </c>
      <c r="G23" s="26">
        <v>4</v>
      </c>
      <c r="H23" s="26">
        <v>2</v>
      </c>
      <c r="I23" s="45">
        <f>997.4</f>
        <v>997.4</v>
      </c>
      <c r="J23" s="45">
        <v>892</v>
      </c>
      <c r="K23" s="45">
        <v>560.3</v>
      </c>
      <c r="L23" s="26">
        <v>49</v>
      </c>
      <c r="M23" s="153" t="s">
        <v>159</v>
      </c>
      <c r="N23" s="28">
        <v>804066</v>
      </c>
      <c r="O23" s="28">
        <v>556397</v>
      </c>
      <c r="P23" s="28">
        <v>103733</v>
      </c>
      <c r="Q23" s="28">
        <v>103733</v>
      </c>
      <c r="R23" s="28">
        <v>40203</v>
      </c>
      <c r="S23" s="59">
        <f t="shared" si="0"/>
        <v>901.4192825112108</v>
      </c>
      <c r="T23" s="59">
        <v>4359.37</v>
      </c>
      <c r="U23" s="85" t="s">
        <v>158</v>
      </c>
    </row>
    <row r="24" spans="1:21" s="25" customFormat="1" ht="12.75" customHeight="1">
      <c r="A24" s="26">
        <v>274</v>
      </c>
      <c r="B24" s="83">
        <v>11</v>
      </c>
      <c r="C24" s="29" t="s">
        <v>132</v>
      </c>
      <c r="D24" s="26">
        <v>1954</v>
      </c>
      <c r="E24" s="57" t="s">
        <v>148</v>
      </c>
      <c r="F24" s="111" t="s">
        <v>82</v>
      </c>
      <c r="G24" s="26">
        <v>4</v>
      </c>
      <c r="H24" s="26">
        <v>2</v>
      </c>
      <c r="I24" s="45">
        <v>1050.9</v>
      </c>
      <c r="J24" s="45">
        <v>948.5</v>
      </c>
      <c r="K24" s="45">
        <v>827.6</v>
      </c>
      <c r="L24" s="26">
        <v>42</v>
      </c>
      <c r="M24" s="153" t="s">
        <v>159</v>
      </c>
      <c r="N24" s="28">
        <v>847155</v>
      </c>
      <c r="O24" s="28">
        <v>586215</v>
      </c>
      <c r="P24" s="28">
        <v>109291</v>
      </c>
      <c r="Q24" s="28">
        <v>109291</v>
      </c>
      <c r="R24" s="28">
        <v>42358</v>
      </c>
      <c r="S24" s="59">
        <f t="shared" si="0"/>
        <v>893.1523458091724</v>
      </c>
      <c r="T24" s="59">
        <v>4359.37</v>
      </c>
      <c r="U24" s="85" t="s">
        <v>158</v>
      </c>
    </row>
    <row r="25" spans="1:21" s="25" customFormat="1" ht="12.75" customHeight="1">
      <c r="A25" s="113">
        <v>422</v>
      </c>
      <c r="B25" s="83">
        <v>12</v>
      </c>
      <c r="C25" s="98" t="s">
        <v>125</v>
      </c>
      <c r="D25" s="26">
        <v>1972</v>
      </c>
      <c r="E25" s="57" t="s">
        <v>148</v>
      </c>
      <c r="F25" s="111" t="s">
        <v>83</v>
      </c>
      <c r="G25" s="26">
        <v>5</v>
      </c>
      <c r="H25" s="26">
        <v>6</v>
      </c>
      <c r="I25" s="45">
        <f>4017+402+1020</f>
        <v>5439</v>
      </c>
      <c r="J25" s="45">
        <v>4017</v>
      </c>
      <c r="K25" s="45">
        <v>2996.5</v>
      </c>
      <c r="L25" s="26">
        <v>237</v>
      </c>
      <c r="M25" s="153" t="s">
        <v>159</v>
      </c>
      <c r="N25" s="28">
        <v>1948584</v>
      </c>
      <c r="O25" s="28">
        <v>1348381</v>
      </c>
      <c r="P25" s="28">
        <v>251387</v>
      </c>
      <c r="Q25" s="28">
        <v>251387</v>
      </c>
      <c r="R25" s="28">
        <v>97429</v>
      </c>
      <c r="S25" s="59">
        <f t="shared" si="0"/>
        <v>485.0843913368185</v>
      </c>
      <c r="T25" s="59">
        <v>4359.37</v>
      </c>
      <c r="U25" s="85" t="s">
        <v>158</v>
      </c>
    </row>
    <row r="26" spans="1:21" s="25" customFormat="1" ht="12.75" customHeight="1">
      <c r="A26" s="113">
        <v>261</v>
      </c>
      <c r="B26" s="83">
        <v>13</v>
      </c>
      <c r="C26" s="98" t="s">
        <v>116</v>
      </c>
      <c r="D26" s="26">
        <v>1977</v>
      </c>
      <c r="E26" s="57" t="s">
        <v>148</v>
      </c>
      <c r="F26" s="111" t="s">
        <v>83</v>
      </c>
      <c r="G26" s="26">
        <v>9</v>
      </c>
      <c r="H26" s="26">
        <v>4</v>
      </c>
      <c r="I26" s="45">
        <f>10889.08+151.4+879+565.7+91.2+18.5+920.52</f>
        <v>13515.400000000001</v>
      </c>
      <c r="J26" s="45">
        <f>10889.08+151.4</f>
        <v>11040.48</v>
      </c>
      <c r="K26" s="45">
        <v>10334.78</v>
      </c>
      <c r="L26" s="26">
        <v>454</v>
      </c>
      <c r="M26" s="153" t="s">
        <v>159</v>
      </c>
      <c r="N26" s="28">
        <v>1136230</v>
      </c>
      <c r="O26" s="28">
        <v>786248</v>
      </c>
      <c r="P26" s="28">
        <v>146585</v>
      </c>
      <c r="Q26" s="28">
        <v>146585</v>
      </c>
      <c r="R26" s="28">
        <v>56812</v>
      </c>
      <c r="S26" s="59">
        <f t="shared" si="0"/>
        <v>102.91490949668855</v>
      </c>
      <c r="T26" s="59">
        <v>4359.37</v>
      </c>
      <c r="U26" s="85" t="s">
        <v>158</v>
      </c>
    </row>
    <row r="27" spans="1:21" s="25" customFormat="1" ht="12.75" customHeight="1">
      <c r="A27" s="113">
        <v>144</v>
      </c>
      <c r="B27" s="83">
        <v>14</v>
      </c>
      <c r="C27" s="29" t="s">
        <v>73</v>
      </c>
      <c r="D27" s="26" t="s">
        <v>103</v>
      </c>
      <c r="E27" s="57" t="s">
        <v>148</v>
      </c>
      <c r="F27" s="111" t="s">
        <v>82</v>
      </c>
      <c r="G27" s="26">
        <v>4</v>
      </c>
      <c r="H27" s="26">
        <v>6</v>
      </c>
      <c r="I27" s="45">
        <v>6592.6</v>
      </c>
      <c r="J27" s="45">
        <v>4603.12</v>
      </c>
      <c r="K27" s="45">
        <v>3745.59</v>
      </c>
      <c r="L27" s="26">
        <v>124</v>
      </c>
      <c r="M27" s="153" t="s">
        <v>159</v>
      </c>
      <c r="N27" s="28">
        <v>2015152</v>
      </c>
      <c r="O27" s="28">
        <v>1394444</v>
      </c>
      <c r="P27" s="28">
        <v>259975</v>
      </c>
      <c r="Q27" s="28">
        <v>259975</v>
      </c>
      <c r="R27" s="28">
        <v>100758</v>
      </c>
      <c r="S27" s="59">
        <f t="shared" si="0"/>
        <v>437.77959297172356</v>
      </c>
      <c r="T27" s="59">
        <v>4359.37</v>
      </c>
      <c r="U27" s="85" t="s">
        <v>158</v>
      </c>
    </row>
    <row r="28" spans="1:21" s="25" customFormat="1" ht="12.75" customHeight="1">
      <c r="A28" s="113">
        <v>207</v>
      </c>
      <c r="B28" s="83">
        <v>15</v>
      </c>
      <c r="C28" s="98" t="s">
        <v>108</v>
      </c>
      <c r="D28" s="26">
        <v>1978</v>
      </c>
      <c r="E28" s="57" t="s">
        <v>148</v>
      </c>
      <c r="F28" s="111" t="s">
        <v>82</v>
      </c>
      <c r="G28" s="26">
        <v>9</v>
      </c>
      <c r="H28" s="26">
        <v>1</v>
      </c>
      <c r="I28" s="45">
        <f>2300.3+151.3+138.6+201.4</f>
        <v>2791.6000000000004</v>
      </c>
      <c r="J28" s="45">
        <v>2300.3</v>
      </c>
      <c r="K28" s="45">
        <v>1837</v>
      </c>
      <c r="L28" s="26">
        <v>97</v>
      </c>
      <c r="M28" s="153" t="s">
        <v>159</v>
      </c>
      <c r="N28" s="28">
        <v>279507</v>
      </c>
      <c r="O28" s="28">
        <v>193414</v>
      </c>
      <c r="P28" s="28">
        <v>36059</v>
      </c>
      <c r="Q28" s="28">
        <v>36059</v>
      </c>
      <c r="R28" s="28">
        <v>13975</v>
      </c>
      <c r="S28" s="59">
        <f t="shared" si="0"/>
        <v>121.50893361735424</v>
      </c>
      <c r="T28" s="59">
        <v>4359.37</v>
      </c>
      <c r="U28" s="85" t="s">
        <v>158</v>
      </c>
    </row>
    <row r="29" spans="1:21" s="25" customFormat="1" ht="12.75" customHeight="1">
      <c r="A29" s="113">
        <v>132</v>
      </c>
      <c r="B29" s="83">
        <v>16</v>
      </c>
      <c r="C29" s="29" t="s">
        <v>100</v>
      </c>
      <c r="D29" s="26">
        <v>1980</v>
      </c>
      <c r="E29" s="57" t="s">
        <v>148</v>
      </c>
      <c r="F29" s="111" t="s">
        <v>82</v>
      </c>
      <c r="G29" s="26">
        <v>9</v>
      </c>
      <c r="H29" s="26">
        <v>2</v>
      </c>
      <c r="I29" s="45">
        <f>5441.9+237.6+502.4+516.2+7.2+34.8</f>
        <v>6740.099999999999</v>
      </c>
      <c r="J29" s="45">
        <v>5441.9</v>
      </c>
      <c r="K29" s="45">
        <v>5414.6</v>
      </c>
      <c r="L29" s="26">
        <v>223</v>
      </c>
      <c r="M29" s="153" t="s">
        <v>159</v>
      </c>
      <c r="N29" s="28">
        <v>584685</v>
      </c>
      <c r="O29" s="28">
        <v>404591</v>
      </c>
      <c r="P29" s="28">
        <v>75430</v>
      </c>
      <c r="Q29" s="28">
        <v>75430</v>
      </c>
      <c r="R29" s="28">
        <v>29234</v>
      </c>
      <c r="S29" s="59">
        <f t="shared" si="0"/>
        <v>107.44133482790937</v>
      </c>
      <c r="T29" s="59">
        <v>4359.37</v>
      </c>
      <c r="U29" s="85" t="s">
        <v>158</v>
      </c>
    </row>
    <row r="30" spans="1:21" s="25" customFormat="1" ht="12.75" customHeight="1">
      <c r="A30" s="113">
        <v>426</v>
      </c>
      <c r="B30" s="83">
        <v>17</v>
      </c>
      <c r="C30" s="100" t="s">
        <v>127</v>
      </c>
      <c r="D30" s="26">
        <v>1950</v>
      </c>
      <c r="E30" s="57" t="s">
        <v>148</v>
      </c>
      <c r="F30" s="111" t="s">
        <v>128</v>
      </c>
      <c r="G30" s="26">
        <v>2</v>
      </c>
      <c r="H30" s="26">
        <v>2</v>
      </c>
      <c r="I30" s="45">
        <f>780.2+38.8+371.2</f>
        <v>1190.2</v>
      </c>
      <c r="J30" s="45">
        <v>780.2</v>
      </c>
      <c r="K30" s="45">
        <v>605</v>
      </c>
      <c r="L30" s="26">
        <v>33</v>
      </c>
      <c r="M30" s="153" t="s">
        <v>159</v>
      </c>
      <c r="N30" s="28">
        <v>1170475</v>
      </c>
      <c r="O30" s="26">
        <v>809945</v>
      </c>
      <c r="P30" s="26">
        <v>151003</v>
      </c>
      <c r="Q30" s="26">
        <v>151003</v>
      </c>
      <c r="R30" s="26">
        <v>58524</v>
      </c>
      <c r="S30" s="59">
        <f t="shared" si="0"/>
        <v>1500.2243014611638</v>
      </c>
      <c r="T30" s="59">
        <v>4359.37</v>
      </c>
      <c r="U30" s="85" t="s">
        <v>158</v>
      </c>
    </row>
    <row r="31" spans="1:21" s="25" customFormat="1" ht="12.75" customHeight="1">
      <c r="A31" s="113">
        <v>143</v>
      </c>
      <c r="B31" s="83">
        <v>18</v>
      </c>
      <c r="C31" s="29" t="s">
        <v>72</v>
      </c>
      <c r="D31" s="26">
        <v>1970</v>
      </c>
      <c r="E31" s="57" t="s">
        <v>148</v>
      </c>
      <c r="F31" s="111" t="s">
        <v>82</v>
      </c>
      <c r="G31" s="26">
        <v>9</v>
      </c>
      <c r="H31" s="26">
        <v>5</v>
      </c>
      <c r="I31" s="45">
        <f>7831.9+63.5+600.2+27.6+32.8+881.8</f>
        <v>9437.8</v>
      </c>
      <c r="J31" s="45">
        <f>7831.9+63.5</f>
        <v>7895.4</v>
      </c>
      <c r="K31" s="45">
        <v>7459</v>
      </c>
      <c r="L31" s="26">
        <v>239</v>
      </c>
      <c r="M31" s="153" t="s">
        <v>159</v>
      </c>
      <c r="N31" s="28">
        <v>1799976</v>
      </c>
      <c r="O31" s="28">
        <v>1245547</v>
      </c>
      <c r="P31" s="28">
        <v>232215</v>
      </c>
      <c r="Q31" s="28">
        <v>232215</v>
      </c>
      <c r="R31" s="28">
        <v>89999</v>
      </c>
      <c r="S31" s="59">
        <f t="shared" si="0"/>
        <v>227.97780986397143</v>
      </c>
      <c r="T31" s="59">
        <v>4359.37</v>
      </c>
      <c r="U31" s="85" t="s">
        <v>158</v>
      </c>
    </row>
    <row r="32" spans="1:21" s="25" customFormat="1" ht="12.75" customHeight="1">
      <c r="A32" s="113">
        <v>394</v>
      </c>
      <c r="B32" s="83">
        <v>19</v>
      </c>
      <c r="C32" s="100" t="s">
        <v>119</v>
      </c>
      <c r="D32" s="26">
        <v>1976</v>
      </c>
      <c r="E32" s="57" t="s">
        <v>148</v>
      </c>
      <c r="F32" s="111" t="s">
        <v>82</v>
      </c>
      <c r="G32" s="26">
        <v>5</v>
      </c>
      <c r="H32" s="26">
        <v>4</v>
      </c>
      <c r="I32" s="45">
        <f>2168.9+441.4+294+15.5+824+50.24</f>
        <v>3794.04</v>
      </c>
      <c r="J32" s="45">
        <f>2168.9+441.4</f>
        <v>2610.3</v>
      </c>
      <c r="K32" s="45">
        <v>2168.9</v>
      </c>
      <c r="L32" s="26">
        <v>74</v>
      </c>
      <c r="M32" s="153" t="s">
        <v>159</v>
      </c>
      <c r="N32" s="28">
        <v>1327700</v>
      </c>
      <c r="O32" s="26">
        <v>918741</v>
      </c>
      <c r="P32" s="26">
        <v>171287</v>
      </c>
      <c r="Q32" s="26">
        <v>171287</v>
      </c>
      <c r="R32" s="26">
        <v>66385</v>
      </c>
      <c r="S32" s="59">
        <f t="shared" si="0"/>
        <v>508.6388537715971</v>
      </c>
      <c r="T32" s="59">
        <v>4359.37</v>
      </c>
      <c r="U32" s="85" t="s">
        <v>158</v>
      </c>
    </row>
    <row r="33" spans="1:21" s="25" customFormat="1" ht="12.75" customHeight="1">
      <c r="A33" s="113">
        <v>423</v>
      </c>
      <c r="B33" s="83">
        <v>20</v>
      </c>
      <c r="C33" s="98" t="s">
        <v>126</v>
      </c>
      <c r="D33" s="26">
        <v>1965</v>
      </c>
      <c r="E33" s="57" t="s">
        <v>148</v>
      </c>
      <c r="F33" s="111" t="s">
        <v>83</v>
      </c>
      <c r="G33" s="26">
        <v>5</v>
      </c>
      <c r="H33" s="26">
        <v>4</v>
      </c>
      <c r="I33" s="45">
        <f>3547.3+279+877.5</f>
        <v>4703.8</v>
      </c>
      <c r="J33" s="45">
        <v>3547.3</v>
      </c>
      <c r="K33" s="45">
        <v>2904.7</v>
      </c>
      <c r="L33" s="26">
        <v>175</v>
      </c>
      <c r="M33" s="153" t="s">
        <v>159</v>
      </c>
      <c r="N33" s="28">
        <v>931444</v>
      </c>
      <c r="O33" s="28">
        <v>644540</v>
      </c>
      <c r="P33" s="28">
        <v>120166</v>
      </c>
      <c r="Q33" s="28">
        <v>120166</v>
      </c>
      <c r="R33" s="28">
        <v>46572</v>
      </c>
      <c r="S33" s="59">
        <f t="shared" si="0"/>
        <v>262.5782989879627</v>
      </c>
      <c r="T33" s="59">
        <v>4359.37</v>
      </c>
      <c r="U33" s="85" t="s">
        <v>158</v>
      </c>
    </row>
    <row r="34" spans="1:21" s="25" customFormat="1" ht="12.75" customHeight="1">
      <c r="A34" s="113">
        <v>238</v>
      </c>
      <c r="B34" s="83">
        <v>21</v>
      </c>
      <c r="C34" s="100" t="s">
        <v>115</v>
      </c>
      <c r="D34" s="26">
        <v>1989</v>
      </c>
      <c r="E34" s="57" t="s">
        <v>148</v>
      </c>
      <c r="F34" s="111" t="s">
        <v>83</v>
      </c>
      <c r="G34" s="26">
        <v>9</v>
      </c>
      <c r="H34" s="26">
        <v>3</v>
      </c>
      <c r="I34" s="45">
        <f>5819.8+230.9+640.9+723.7+15.4+80.1</f>
        <v>7510.799999999999</v>
      </c>
      <c r="J34" s="45">
        <f>5819.8+230.9</f>
        <v>6050.7</v>
      </c>
      <c r="K34" s="45">
        <v>5587.2</v>
      </c>
      <c r="L34" s="26">
        <v>274</v>
      </c>
      <c r="M34" s="153" t="s">
        <v>159</v>
      </c>
      <c r="N34" s="28">
        <v>2360024</v>
      </c>
      <c r="O34" s="28">
        <v>1633089</v>
      </c>
      <c r="P34" s="28">
        <v>304467</v>
      </c>
      <c r="Q34" s="28">
        <v>304467</v>
      </c>
      <c r="R34" s="28">
        <v>118001</v>
      </c>
      <c r="S34" s="59">
        <f t="shared" si="0"/>
        <v>390.04148280364257</v>
      </c>
      <c r="T34" s="59">
        <v>4359.37</v>
      </c>
      <c r="U34" s="85" t="s">
        <v>158</v>
      </c>
    </row>
    <row r="35" spans="1:21" s="25" customFormat="1" ht="12.75" customHeight="1">
      <c r="A35" s="113">
        <v>405</v>
      </c>
      <c r="B35" s="83">
        <v>22</v>
      </c>
      <c r="C35" s="98" t="s">
        <v>120</v>
      </c>
      <c r="D35" s="26">
        <v>1971</v>
      </c>
      <c r="E35" s="57" t="s">
        <v>148</v>
      </c>
      <c r="F35" s="111" t="s">
        <v>82</v>
      </c>
      <c r="G35" s="26">
        <v>5</v>
      </c>
      <c r="H35" s="26">
        <v>3</v>
      </c>
      <c r="I35" s="45">
        <f>2993.6+138.2+254</f>
        <v>3385.7999999999997</v>
      </c>
      <c r="J35" s="45">
        <v>2993.6</v>
      </c>
      <c r="K35" s="45">
        <v>1267.4</v>
      </c>
      <c r="L35" s="26">
        <v>259</v>
      </c>
      <c r="M35" s="153" t="s">
        <v>159</v>
      </c>
      <c r="N35" s="28">
        <v>1454458</v>
      </c>
      <c r="O35" s="28">
        <v>1006455</v>
      </c>
      <c r="P35" s="28">
        <v>187640</v>
      </c>
      <c r="Q35" s="28">
        <v>187640</v>
      </c>
      <c r="R35" s="28">
        <v>72723</v>
      </c>
      <c r="S35" s="59">
        <f t="shared" si="0"/>
        <v>485.8558257616248</v>
      </c>
      <c r="T35" s="59">
        <v>4359.37</v>
      </c>
      <c r="U35" s="85" t="s">
        <v>158</v>
      </c>
    </row>
    <row r="36" spans="1:21" s="25" customFormat="1" ht="12.75" customHeight="1">
      <c r="A36" s="113">
        <v>406</v>
      </c>
      <c r="B36" s="83">
        <v>23</v>
      </c>
      <c r="C36" s="98" t="s">
        <v>121</v>
      </c>
      <c r="D36" s="26">
        <v>1970</v>
      </c>
      <c r="E36" s="57" t="s">
        <v>148</v>
      </c>
      <c r="F36" s="111" t="s">
        <v>82</v>
      </c>
      <c r="G36" s="26">
        <v>5</v>
      </c>
      <c r="H36" s="26">
        <v>3</v>
      </c>
      <c r="I36" s="45">
        <f>3302.5+186.5+276.1</f>
        <v>3765.1</v>
      </c>
      <c r="J36" s="45">
        <v>3302.5</v>
      </c>
      <c r="K36" s="45">
        <v>1300.9</v>
      </c>
      <c r="L36" s="26">
        <v>258</v>
      </c>
      <c r="M36" s="153" t="s">
        <v>159</v>
      </c>
      <c r="N36" s="28">
        <v>1084059</v>
      </c>
      <c r="O36" s="28">
        <v>750148</v>
      </c>
      <c r="P36" s="28">
        <v>139854</v>
      </c>
      <c r="Q36" s="28">
        <v>139854</v>
      </c>
      <c r="R36" s="28">
        <v>54203</v>
      </c>
      <c r="S36" s="59">
        <f t="shared" si="0"/>
        <v>328.2540499621499</v>
      </c>
      <c r="T36" s="59">
        <v>4359.37</v>
      </c>
      <c r="U36" s="85" t="s">
        <v>158</v>
      </c>
    </row>
    <row r="37" spans="1:21" s="25" customFormat="1" ht="12.75" customHeight="1">
      <c r="A37" s="113">
        <v>365</v>
      </c>
      <c r="B37" s="83">
        <v>24</v>
      </c>
      <c r="C37" s="29" t="s">
        <v>145</v>
      </c>
      <c r="D37" s="26">
        <v>1974</v>
      </c>
      <c r="E37" s="57" t="s">
        <v>148</v>
      </c>
      <c r="F37" s="111" t="s">
        <v>83</v>
      </c>
      <c r="G37" s="26">
        <v>9</v>
      </c>
      <c r="H37" s="26">
        <v>2</v>
      </c>
      <c r="I37" s="45">
        <f>3840.6+331.2+268.2+586.5</f>
        <v>5026.5</v>
      </c>
      <c r="J37" s="45">
        <v>3840.6</v>
      </c>
      <c r="K37" s="45">
        <v>3840.6</v>
      </c>
      <c r="L37" s="26">
        <v>165</v>
      </c>
      <c r="M37" s="153" t="s">
        <v>159</v>
      </c>
      <c r="N37" s="28">
        <v>3168900</v>
      </c>
      <c r="O37" s="28">
        <v>2192815</v>
      </c>
      <c r="P37" s="28">
        <v>408820</v>
      </c>
      <c r="Q37" s="28">
        <v>408820</v>
      </c>
      <c r="R37" s="28">
        <v>158445</v>
      </c>
      <c r="S37" s="59">
        <f t="shared" si="0"/>
        <v>825.1054522730824</v>
      </c>
      <c r="T37" s="59">
        <v>4359.37</v>
      </c>
      <c r="U37" s="85" t="s">
        <v>158</v>
      </c>
    </row>
    <row r="38" spans="1:21" s="25" customFormat="1" ht="12.75" customHeight="1">
      <c r="A38" s="113">
        <v>145</v>
      </c>
      <c r="B38" s="83">
        <v>25</v>
      </c>
      <c r="C38" s="29" t="s">
        <v>74</v>
      </c>
      <c r="D38" s="26">
        <v>1981</v>
      </c>
      <c r="E38" s="57" t="s">
        <v>148</v>
      </c>
      <c r="F38" s="111" t="s">
        <v>83</v>
      </c>
      <c r="G38" s="26">
        <v>9</v>
      </c>
      <c r="H38" s="26">
        <v>4</v>
      </c>
      <c r="I38" s="45">
        <f>7876.15+24+458.4+429.8+57.2+10.8+1147.6</f>
        <v>10003.949999999999</v>
      </c>
      <c r="J38" s="45">
        <f>7876.15+24</f>
        <v>7900.15</v>
      </c>
      <c r="K38" s="45">
        <v>7319.25</v>
      </c>
      <c r="L38" s="26">
        <v>340</v>
      </c>
      <c r="M38" s="153" t="s">
        <v>159</v>
      </c>
      <c r="N38" s="28">
        <v>1791145</v>
      </c>
      <c r="O38" s="26">
        <v>1239437</v>
      </c>
      <c r="P38" s="26">
        <v>231075</v>
      </c>
      <c r="Q38" s="26">
        <v>231075</v>
      </c>
      <c r="R38" s="26">
        <v>89558</v>
      </c>
      <c r="S38" s="59">
        <f t="shared" si="0"/>
        <v>226.72291032448751</v>
      </c>
      <c r="T38" s="59">
        <v>4359.37</v>
      </c>
      <c r="U38" s="85" t="s">
        <v>158</v>
      </c>
    </row>
    <row r="39" spans="1:21" s="25" customFormat="1" ht="12.75" customHeight="1">
      <c r="A39" s="113">
        <v>407</v>
      </c>
      <c r="B39" s="83">
        <v>26</v>
      </c>
      <c r="C39" s="98" t="s">
        <v>122</v>
      </c>
      <c r="D39" s="26">
        <v>1961</v>
      </c>
      <c r="E39" s="57" t="s">
        <v>148</v>
      </c>
      <c r="F39" s="111" t="s">
        <v>82</v>
      </c>
      <c r="G39" s="26">
        <v>4</v>
      </c>
      <c r="H39" s="26">
        <v>3</v>
      </c>
      <c r="I39" s="45">
        <f>2905.8+507.7+676+32.5</f>
        <v>4122</v>
      </c>
      <c r="J39" s="45">
        <v>2905.8</v>
      </c>
      <c r="K39" s="45">
        <v>1371.01</v>
      </c>
      <c r="L39" s="26">
        <v>230</v>
      </c>
      <c r="M39" s="153" t="s">
        <v>159</v>
      </c>
      <c r="N39" s="28">
        <v>1493381</v>
      </c>
      <c r="O39" s="28">
        <v>1033390</v>
      </c>
      <c r="P39" s="28">
        <v>192661</v>
      </c>
      <c r="Q39" s="28">
        <v>192661</v>
      </c>
      <c r="R39" s="28">
        <v>74669</v>
      </c>
      <c r="S39" s="59">
        <f t="shared" si="0"/>
        <v>513.9311033106201</v>
      </c>
      <c r="T39" s="59">
        <v>4359.37</v>
      </c>
      <c r="U39" s="85" t="s">
        <v>158</v>
      </c>
    </row>
    <row r="40" spans="1:21" s="25" customFormat="1" ht="12.75" customHeight="1">
      <c r="A40" s="113">
        <v>117</v>
      </c>
      <c r="B40" s="83">
        <v>27</v>
      </c>
      <c r="C40" s="29" t="s">
        <v>70</v>
      </c>
      <c r="D40" s="26">
        <v>1980</v>
      </c>
      <c r="E40" s="57" t="s">
        <v>148</v>
      </c>
      <c r="F40" s="111" t="s">
        <v>83</v>
      </c>
      <c r="G40" s="112">
        <v>9</v>
      </c>
      <c r="H40" s="26">
        <v>4</v>
      </c>
      <c r="I40" s="45">
        <f>10953+890.8+640.3+1344.1</f>
        <v>13828.199999999999</v>
      </c>
      <c r="J40" s="45">
        <v>10953</v>
      </c>
      <c r="K40" s="45">
        <v>9533.24</v>
      </c>
      <c r="L40" s="26">
        <v>462</v>
      </c>
      <c r="M40" s="153" t="s">
        <v>159</v>
      </c>
      <c r="N40" s="28">
        <v>4038969</v>
      </c>
      <c r="O40" s="28">
        <v>2794887</v>
      </c>
      <c r="P40" s="28">
        <v>521067</v>
      </c>
      <c r="Q40" s="28">
        <v>521067</v>
      </c>
      <c r="R40" s="28">
        <v>201948</v>
      </c>
      <c r="S40" s="59">
        <f t="shared" si="0"/>
        <v>368.75458778416873</v>
      </c>
      <c r="T40" s="59">
        <v>4359.37</v>
      </c>
      <c r="U40" s="85" t="s">
        <v>158</v>
      </c>
    </row>
    <row r="41" spans="1:21" s="25" customFormat="1" ht="12.75" customHeight="1">
      <c r="A41" s="113">
        <v>118</v>
      </c>
      <c r="B41" s="83">
        <v>28</v>
      </c>
      <c r="C41" s="29" t="s">
        <v>95</v>
      </c>
      <c r="D41" s="26">
        <v>1986</v>
      </c>
      <c r="E41" s="57" t="s">
        <v>148</v>
      </c>
      <c r="F41" s="111" t="s">
        <v>83</v>
      </c>
      <c r="G41" s="26">
        <v>9</v>
      </c>
      <c r="H41" s="26">
        <v>5</v>
      </c>
      <c r="I41" s="45">
        <f>9523.5+85.7+539.5+483+1147</f>
        <v>11778.7</v>
      </c>
      <c r="J41" s="45">
        <v>9609.2</v>
      </c>
      <c r="K41" s="45">
        <v>7593.87</v>
      </c>
      <c r="L41" s="26">
        <v>382</v>
      </c>
      <c r="M41" s="153" t="s">
        <v>159</v>
      </c>
      <c r="N41" s="28">
        <v>4763948</v>
      </c>
      <c r="O41" s="28">
        <v>3296557</v>
      </c>
      <c r="P41" s="28">
        <v>614597</v>
      </c>
      <c r="Q41" s="28">
        <v>614597</v>
      </c>
      <c r="R41" s="28">
        <v>238197</v>
      </c>
      <c r="S41" s="59">
        <f t="shared" si="0"/>
        <v>495.76947092369807</v>
      </c>
      <c r="T41" s="59">
        <v>4359.37</v>
      </c>
      <c r="U41" s="85" t="s">
        <v>158</v>
      </c>
    </row>
    <row r="42" spans="1:21" s="25" customFormat="1" ht="12.75" customHeight="1">
      <c r="A42" s="113">
        <v>142</v>
      </c>
      <c r="B42" s="83">
        <v>29</v>
      </c>
      <c r="C42" s="29" t="s">
        <v>71</v>
      </c>
      <c r="D42" s="26">
        <v>1990</v>
      </c>
      <c r="E42" s="57" t="s">
        <v>148</v>
      </c>
      <c r="F42" s="111" t="s">
        <v>82</v>
      </c>
      <c r="G42" s="26">
        <v>10</v>
      </c>
      <c r="H42" s="26">
        <v>6</v>
      </c>
      <c r="I42" s="45">
        <f>13646.7+837.5+742+215.6+100.2+40.3+1449.8</f>
        <v>17032.100000000002</v>
      </c>
      <c r="J42" s="45">
        <f>13646.7+837.5</f>
        <v>14484.2</v>
      </c>
      <c r="K42" s="45">
        <v>12144.86</v>
      </c>
      <c r="L42" s="26">
        <v>592</v>
      </c>
      <c r="M42" s="153" t="s">
        <v>159</v>
      </c>
      <c r="N42" s="28">
        <v>1701080</v>
      </c>
      <c r="O42" s="28">
        <v>1177114</v>
      </c>
      <c r="P42" s="28">
        <v>219456</v>
      </c>
      <c r="Q42" s="28">
        <v>219456</v>
      </c>
      <c r="R42" s="28">
        <v>85054</v>
      </c>
      <c r="S42" s="59">
        <f t="shared" si="0"/>
        <v>117.44383535162453</v>
      </c>
      <c r="T42" s="59">
        <v>4359.37</v>
      </c>
      <c r="U42" s="85" t="s">
        <v>158</v>
      </c>
    </row>
    <row r="43" spans="1:21" s="25" customFormat="1" ht="12.75" customHeight="1">
      <c r="A43" s="113">
        <v>126</v>
      </c>
      <c r="B43" s="83">
        <v>30</v>
      </c>
      <c r="C43" s="29" t="s">
        <v>97</v>
      </c>
      <c r="D43" s="26">
        <v>1992</v>
      </c>
      <c r="E43" s="57" t="s">
        <v>148</v>
      </c>
      <c r="F43" s="111" t="s">
        <v>83</v>
      </c>
      <c r="G43" s="26">
        <v>10</v>
      </c>
      <c r="H43" s="26">
        <v>4</v>
      </c>
      <c r="I43" s="45">
        <f>8759.6+481.2+977.2+1218+148.1</f>
        <v>11584.100000000002</v>
      </c>
      <c r="J43" s="45">
        <v>8759.6</v>
      </c>
      <c r="K43" s="45">
        <v>8759.6</v>
      </c>
      <c r="L43" s="26">
        <v>395</v>
      </c>
      <c r="M43" s="153" t="s">
        <v>159</v>
      </c>
      <c r="N43" s="28">
        <v>1437646</v>
      </c>
      <c r="O43" s="28">
        <v>994822</v>
      </c>
      <c r="P43" s="28">
        <v>185471</v>
      </c>
      <c r="Q43" s="28">
        <v>185471</v>
      </c>
      <c r="R43" s="28">
        <v>71882</v>
      </c>
      <c r="S43" s="59">
        <f t="shared" si="0"/>
        <v>164.1223343531668</v>
      </c>
      <c r="T43" s="59">
        <v>4359.37</v>
      </c>
      <c r="U43" s="85" t="s">
        <v>158</v>
      </c>
    </row>
    <row r="44" spans="1:21" s="25" customFormat="1" ht="12.75" customHeight="1">
      <c r="A44" s="113">
        <v>58</v>
      </c>
      <c r="B44" s="83">
        <v>31</v>
      </c>
      <c r="C44" s="29" t="s">
        <v>93</v>
      </c>
      <c r="D44" s="26">
        <v>1958</v>
      </c>
      <c r="E44" s="57" t="s">
        <v>148</v>
      </c>
      <c r="F44" s="111" t="s">
        <v>82</v>
      </c>
      <c r="G44" s="26">
        <v>4</v>
      </c>
      <c r="H44" s="26">
        <v>2</v>
      </c>
      <c r="I44" s="45">
        <v>3606.42</v>
      </c>
      <c r="J44" s="45">
        <v>2531.1</v>
      </c>
      <c r="K44" s="45">
        <v>2460.9</v>
      </c>
      <c r="L44" s="26">
        <v>99</v>
      </c>
      <c r="M44" s="153" t="s">
        <v>159</v>
      </c>
      <c r="N44" s="28">
        <v>1163929</v>
      </c>
      <c r="O44" s="28">
        <v>805417</v>
      </c>
      <c r="P44" s="28">
        <v>150158</v>
      </c>
      <c r="Q44" s="28">
        <v>150158</v>
      </c>
      <c r="R44" s="28">
        <v>58196</v>
      </c>
      <c r="S44" s="59">
        <f t="shared" si="0"/>
        <v>459.8510529019004</v>
      </c>
      <c r="T44" s="59">
        <v>4359.37</v>
      </c>
      <c r="U44" s="85" t="s">
        <v>158</v>
      </c>
    </row>
    <row r="45" spans="1:21" s="25" customFormat="1" ht="12.75" customHeight="1" thickBot="1">
      <c r="A45" s="113">
        <v>56</v>
      </c>
      <c r="B45" s="116">
        <v>32</v>
      </c>
      <c r="C45" s="117" t="s">
        <v>91</v>
      </c>
      <c r="D45" s="109">
        <v>1958</v>
      </c>
      <c r="E45" s="118" t="s">
        <v>148</v>
      </c>
      <c r="F45" s="119" t="s">
        <v>82</v>
      </c>
      <c r="G45" s="109">
        <v>3</v>
      </c>
      <c r="H45" s="109">
        <v>3</v>
      </c>
      <c r="I45" s="101">
        <f>1983.43+160.2+758.8</f>
        <v>2902.4300000000003</v>
      </c>
      <c r="J45" s="101">
        <v>1983.43</v>
      </c>
      <c r="K45" s="101">
        <v>1745.6</v>
      </c>
      <c r="L45" s="109">
        <v>83</v>
      </c>
      <c r="M45" s="157" t="s">
        <v>159</v>
      </c>
      <c r="N45" s="102">
        <v>1069799</v>
      </c>
      <c r="O45" s="102">
        <v>740279</v>
      </c>
      <c r="P45" s="102">
        <v>138015</v>
      </c>
      <c r="Q45" s="102">
        <v>138015</v>
      </c>
      <c r="R45" s="102">
        <v>53490</v>
      </c>
      <c r="S45" s="159">
        <f t="shared" si="0"/>
        <v>539.3681652490886</v>
      </c>
      <c r="T45" s="159">
        <v>4359.37</v>
      </c>
      <c r="U45" s="168" t="s">
        <v>158</v>
      </c>
    </row>
    <row r="46" spans="1:21" s="25" customFormat="1" ht="12.75" customHeight="1">
      <c r="A46" s="113">
        <v>63</v>
      </c>
      <c r="B46" s="161">
        <v>33</v>
      </c>
      <c r="C46" s="120" t="s">
        <v>69</v>
      </c>
      <c r="D46" s="163">
        <v>1959</v>
      </c>
      <c r="E46" s="163" t="s">
        <v>148</v>
      </c>
      <c r="F46" s="164" t="s">
        <v>82</v>
      </c>
      <c r="G46" s="163">
        <v>4</v>
      </c>
      <c r="H46" s="163">
        <v>4</v>
      </c>
      <c r="I46" s="121">
        <v>3162.95</v>
      </c>
      <c r="J46" s="121">
        <f>2290.2+44.2</f>
        <v>2334.3999999999996</v>
      </c>
      <c r="K46" s="121">
        <v>1839.9</v>
      </c>
      <c r="L46" s="163">
        <v>106</v>
      </c>
      <c r="M46" s="169" t="s">
        <v>159</v>
      </c>
      <c r="N46" s="122">
        <v>1087244</v>
      </c>
      <c r="O46" s="122">
        <v>752352</v>
      </c>
      <c r="P46" s="122">
        <v>140265</v>
      </c>
      <c r="Q46" s="122">
        <v>140265</v>
      </c>
      <c r="R46" s="122">
        <v>54362</v>
      </c>
      <c r="S46" s="121">
        <f t="shared" si="0"/>
        <v>465.74880054832084</v>
      </c>
      <c r="T46" s="121">
        <v>4359.37</v>
      </c>
      <c r="U46" s="165" t="s">
        <v>158</v>
      </c>
    </row>
    <row r="47" spans="1:21" s="25" customFormat="1" ht="12.75" customHeight="1">
      <c r="A47" s="113">
        <v>51</v>
      </c>
      <c r="B47" s="83">
        <v>34</v>
      </c>
      <c r="C47" s="29" t="s">
        <v>89</v>
      </c>
      <c r="D47" s="26">
        <v>1958</v>
      </c>
      <c r="E47" s="57" t="s">
        <v>148</v>
      </c>
      <c r="F47" s="111" t="s">
        <v>82</v>
      </c>
      <c r="G47" s="26">
        <v>3</v>
      </c>
      <c r="H47" s="26">
        <v>4</v>
      </c>
      <c r="I47" s="45">
        <v>3201.68</v>
      </c>
      <c r="J47" s="45">
        <f>2106.8+56.5</f>
        <v>2163.3</v>
      </c>
      <c r="K47" s="45">
        <v>1887.3</v>
      </c>
      <c r="L47" s="26">
        <v>82</v>
      </c>
      <c r="M47" s="153" t="s">
        <v>159</v>
      </c>
      <c r="N47" s="28">
        <v>1176387</v>
      </c>
      <c r="O47" s="28">
        <v>814036</v>
      </c>
      <c r="P47" s="28">
        <v>151766</v>
      </c>
      <c r="Q47" s="28">
        <v>151766</v>
      </c>
      <c r="R47" s="28">
        <v>58819</v>
      </c>
      <c r="S47" s="59">
        <f t="shared" si="0"/>
        <v>543.7928165303009</v>
      </c>
      <c r="T47" s="59">
        <v>4359.37</v>
      </c>
      <c r="U47" s="85" t="s">
        <v>158</v>
      </c>
    </row>
    <row r="48" spans="1:21" s="25" customFormat="1" ht="12.75" customHeight="1">
      <c r="A48" s="113">
        <v>57</v>
      </c>
      <c r="B48" s="83">
        <v>35</v>
      </c>
      <c r="C48" s="29" t="s">
        <v>92</v>
      </c>
      <c r="D48" s="26">
        <v>1977</v>
      </c>
      <c r="E48" s="57" t="s">
        <v>148</v>
      </c>
      <c r="F48" s="111" t="s">
        <v>82</v>
      </c>
      <c r="G48" s="26">
        <v>5</v>
      </c>
      <c r="H48" s="26">
        <v>6</v>
      </c>
      <c r="I48" s="45">
        <f>5057.9+114.1+422.2+1079.9</f>
        <v>6674.1</v>
      </c>
      <c r="J48" s="45">
        <f>5057.9+114.1</f>
        <v>5172</v>
      </c>
      <c r="K48" s="45">
        <v>4272.6</v>
      </c>
      <c r="L48" s="26">
        <v>237</v>
      </c>
      <c r="M48" s="153" t="s">
        <v>159</v>
      </c>
      <c r="N48" s="28">
        <v>901148</v>
      </c>
      <c r="O48" s="28">
        <v>623577</v>
      </c>
      <c r="P48" s="28">
        <v>116257</v>
      </c>
      <c r="Q48" s="28">
        <v>116257</v>
      </c>
      <c r="R48" s="28">
        <v>45057</v>
      </c>
      <c r="S48" s="59">
        <f t="shared" si="0"/>
        <v>174.23588553750966</v>
      </c>
      <c r="T48" s="59">
        <v>4359.37</v>
      </c>
      <c r="U48" s="85" t="s">
        <v>158</v>
      </c>
    </row>
    <row r="49" spans="1:21" s="25" customFormat="1" ht="12.75" customHeight="1">
      <c r="A49" s="113">
        <v>20</v>
      </c>
      <c r="B49" s="83">
        <v>36</v>
      </c>
      <c r="C49" s="29" t="s">
        <v>67</v>
      </c>
      <c r="D49" s="26">
        <v>1953</v>
      </c>
      <c r="E49" s="57" t="s">
        <v>148</v>
      </c>
      <c r="F49" s="111" t="s">
        <v>82</v>
      </c>
      <c r="G49" s="26">
        <v>3</v>
      </c>
      <c r="H49" s="26">
        <v>3</v>
      </c>
      <c r="I49" s="45">
        <f>1282.21+461.8+59.7+680.4</f>
        <v>2484.11</v>
      </c>
      <c r="J49" s="45">
        <f>1282.21+461.8</f>
        <v>1744.01</v>
      </c>
      <c r="K49" s="45">
        <v>930.51</v>
      </c>
      <c r="L49" s="26">
        <v>51</v>
      </c>
      <c r="M49" s="153" t="s">
        <v>159</v>
      </c>
      <c r="N49" s="28">
        <v>1140404</v>
      </c>
      <c r="O49" s="28">
        <v>789136</v>
      </c>
      <c r="P49" s="28">
        <v>147124</v>
      </c>
      <c r="Q49" s="28">
        <v>147124</v>
      </c>
      <c r="R49" s="28">
        <v>57020</v>
      </c>
      <c r="S49" s="59">
        <f t="shared" si="0"/>
        <v>653.8976267337916</v>
      </c>
      <c r="T49" s="59">
        <v>4359.37</v>
      </c>
      <c r="U49" s="85" t="s">
        <v>158</v>
      </c>
    </row>
    <row r="50" spans="1:21" s="25" customFormat="1" ht="12.75" customHeight="1">
      <c r="A50" s="26">
        <v>19</v>
      </c>
      <c r="B50" s="83">
        <v>37</v>
      </c>
      <c r="C50" s="29" t="s">
        <v>66</v>
      </c>
      <c r="D50" s="26">
        <v>1979</v>
      </c>
      <c r="E50" s="57" t="s">
        <v>148</v>
      </c>
      <c r="F50" s="111" t="s">
        <v>83</v>
      </c>
      <c r="G50" s="26">
        <v>9</v>
      </c>
      <c r="H50" s="26">
        <v>2</v>
      </c>
      <c r="I50" s="45">
        <f>3825.4+238.4+322.2+158.7+459</f>
        <v>5003.7</v>
      </c>
      <c r="J50" s="45">
        <f>3825.4+238.4</f>
        <v>4063.8</v>
      </c>
      <c r="K50" s="45">
        <v>3259.2</v>
      </c>
      <c r="L50" s="26">
        <v>191</v>
      </c>
      <c r="M50" s="153" t="s">
        <v>159</v>
      </c>
      <c r="N50" s="28">
        <v>1989419</v>
      </c>
      <c r="O50" s="28">
        <v>1376638</v>
      </c>
      <c r="P50" s="28">
        <v>256655</v>
      </c>
      <c r="Q50" s="28">
        <v>256655</v>
      </c>
      <c r="R50" s="28">
        <v>99471</v>
      </c>
      <c r="S50" s="59">
        <f t="shared" si="0"/>
        <v>489.54648358679066</v>
      </c>
      <c r="T50" s="59">
        <v>4359.37</v>
      </c>
      <c r="U50" s="85" t="s">
        <v>158</v>
      </c>
    </row>
    <row r="51" spans="1:21" s="25" customFormat="1" ht="12.75" customHeight="1">
      <c r="A51" s="113">
        <v>470</v>
      </c>
      <c r="B51" s="83">
        <v>38</v>
      </c>
      <c r="C51" s="98" t="s">
        <v>129</v>
      </c>
      <c r="D51" s="26">
        <v>1979</v>
      </c>
      <c r="E51" s="57" t="s">
        <v>148</v>
      </c>
      <c r="F51" s="111" t="s">
        <v>83</v>
      </c>
      <c r="G51" s="26">
        <v>9</v>
      </c>
      <c r="H51" s="26">
        <v>4</v>
      </c>
      <c r="I51" s="45">
        <f>7533+43+432+186+1120</f>
        <v>9314</v>
      </c>
      <c r="J51" s="45">
        <f>7533+43</f>
        <v>7576</v>
      </c>
      <c r="K51" s="45">
        <v>6038.08</v>
      </c>
      <c r="L51" s="26">
        <v>348</v>
      </c>
      <c r="M51" s="153" t="s">
        <v>159</v>
      </c>
      <c r="N51" s="28">
        <v>761204</v>
      </c>
      <c r="O51" s="28">
        <v>526738</v>
      </c>
      <c r="P51" s="28">
        <v>98203</v>
      </c>
      <c r="Q51" s="28">
        <v>98203</v>
      </c>
      <c r="R51" s="28">
        <v>38060</v>
      </c>
      <c r="S51" s="59">
        <f t="shared" si="0"/>
        <v>100.47571277719113</v>
      </c>
      <c r="T51" s="59">
        <v>4359.37</v>
      </c>
      <c r="U51" s="85" t="s">
        <v>158</v>
      </c>
    </row>
    <row r="52" spans="1:21" s="25" customFormat="1" ht="12.75" customHeight="1">
      <c r="A52" s="113">
        <v>70</v>
      </c>
      <c r="B52" s="83">
        <v>39</v>
      </c>
      <c r="C52" s="29" t="s">
        <v>94</v>
      </c>
      <c r="D52" s="26">
        <v>1993</v>
      </c>
      <c r="E52" s="57" t="s">
        <v>148</v>
      </c>
      <c r="F52" s="111" t="s">
        <v>83</v>
      </c>
      <c r="G52" s="26">
        <v>10</v>
      </c>
      <c r="H52" s="26">
        <v>6</v>
      </c>
      <c r="I52" s="45">
        <f>13355.4+362.7+1399.4+1925</f>
        <v>17042.5</v>
      </c>
      <c r="J52" s="45">
        <f>13355.4+362.7</f>
        <v>13718.1</v>
      </c>
      <c r="K52" s="45">
        <v>13355.4</v>
      </c>
      <c r="L52" s="26">
        <v>500</v>
      </c>
      <c r="M52" s="153" t="s">
        <v>159</v>
      </c>
      <c r="N52" s="28">
        <v>902805</v>
      </c>
      <c r="O52" s="28">
        <v>624723</v>
      </c>
      <c r="P52" s="28">
        <v>116471</v>
      </c>
      <c r="Q52" s="28">
        <v>116471</v>
      </c>
      <c r="R52" s="28">
        <v>45140</v>
      </c>
      <c r="S52" s="59">
        <f t="shared" si="0"/>
        <v>65.8112275023509</v>
      </c>
      <c r="T52" s="59">
        <v>4359.37</v>
      </c>
      <c r="U52" s="85" t="s">
        <v>158</v>
      </c>
    </row>
    <row r="53" spans="1:21" s="25" customFormat="1" ht="12.75" customHeight="1">
      <c r="A53" s="113">
        <v>26</v>
      </c>
      <c r="B53" s="83">
        <v>40</v>
      </c>
      <c r="C53" s="98" t="s">
        <v>68</v>
      </c>
      <c r="D53" s="26">
        <v>1979</v>
      </c>
      <c r="E53" s="57" t="s">
        <v>148</v>
      </c>
      <c r="F53" s="111" t="s">
        <v>83</v>
      </c>
      <c r="G53" s="26">
        <v>9</v>
      </c>
      <c r="H53" s="26">
        <v>4</v>
      </c>
      <c r="I53" s="45">
        <f>10886.7+851.9+556.1+1620.3</f>
        <v>13915</v>
      </c>
      <c r="J53" s="45">
        <v>10886.7</v>
      </c>
      <c r="K53" s="45">
        <v>10886.7</v>
      </c>
      <c r="L53" s="26">
        <v>465</v>
      </c>
      <c r="M53" s="153" t="s">
        <v>159</v>
      </c>
      <c r="N53" s="28">
        <v>1779242</v>
      </c>
      <c r="O53" s="28">
        <v>1231200</v>
      </c>
      <c r="P53" s="28">
        <v>229540</v>
      </c>
      <c r="Q53" s="28">
        <v>229540</v>
      </c>
      <c r="R53" s="28">
        <v>88962</v>
      </c>
      <c r="S53" s="59">
        <f t="shared" si="0"/>
        <v>163.43262880395343</v>
      </c>
      <c r="T53" s="59">
        <v>4359.37</v>
      </c>
      <c r="U53" s="85" t="s">
        <v>158</v>
      </c>
    </row>
    <row r="54" spans="1:21" s="25" customFormat="1" ht="12.75" customHeight="1">
      <c r="A54" s="113">
        <v>215</v>
      </c>
      <c r="B54" s="83">
        <v>41</v>
      </c>
      <c r="C54" s="98" t="s">
        <v>112</v>
      </c>
      <c r="D54" s="26">
        <v>1987</v>
      </c>
      <c r="E54" s="57" t="s">
        <v>148</v>
      </c>
      <c r="F54" s="111" t="s">
        <v>82</v>
      </c>
      <c r="G54" s="26">
        <v>9</v>
      </c>
      <c r="H54" s="26">
        <v>3</v>
      </c>
      <c r="I54" s="45">
        <f>8025.22+94.4+520+615+1000</f>
        <v>10254.619999999999</v>
      </c>
      <c r="J54" s="45">
        <f>8025.22+94.4</f>
        <v>8119.62</v>
      </c>
      <c r="K54" s="45">
        <v>6513.03</v>
      </c>
      <c r="L54" s="26">
        <v>395</v>
      </c>
      <c r="M54" s="153" t="s">
        <v>159</v>
      </c>
      <c r="N54" s="28">
        <v>904817</v>
      </c>
      <c r="O54" s="28">
        <v>626116</v>
      </c>
      <c r="P54" s="28">
        <v>116730</v>
      </c>
      <c r="Q54" s="28">
        <v>116730</v>
      </c>
      <c r="R54" s="28">
        <v>45241</v>
      </c>
      <c r="S54" s="59">
        <f t="shared" si="0"/>
        <v>111.43588000423665</v>
      </c>
      <c r="T54" s="59">
        <v>4359.37</v>
      </c>
      <c r="U54" s="85" t="s">
        <v>158</v>
      </c>
    </row>
    <row r="55" spans="1:21" s="25" customFormat="1" ht="12.75" customHeight="1">
      <c r="A55" s="113">
        <v>213</v>
      </c>
      <c r="B55" s="83">
        <v>42</v>
      </c>
      <c r="C55" s="98" t="s">
        <v>110</v>
      </c>
      <c r="D55" s="26">
        <v>1972</v>
      </c>
      <c r="E55" s="57" t="s">
        <v>148</v>
      </c>
      <c r="F55" s="111" t="s">
        <v>82</v>
      </c>
      <c r="G55" s="26">
        <v>5</v>
      </c>
      <c r="H55" s="26">
        <v>4</v>
      </c>
      <c r="I55" s="45">
        <f>3166.94+221.3+274+216+900</f>
        <v>4778.24</v>
      </c>
      <c r="J55" s="45">
        <f>3166.94+221.3</f>
        <v>3388.2400000000002</v>
      </c>
      <c r="K55" s="45">
        <v>2369.53</v>
      </c>
      <c r="L55" s="26">
        <v>169</v>
      </c>
      <c r="M55" s="153" t="s">
        <v>159</v>
      </c>
      <c r="N55" s="28">
        <v>813986</v>
      </c>
      <c r="O55" s="28">
        <v>563263</v>
      </c>
      <c r="P55" s="28">
        <v>105012</v>
      </c>
      <c r="Q55" s="28">
        <v>105012</v>
      </c>
      <c r="R55" s="28">
        <v>40699</v>
      </c>
      <c r="S55" s="59">
        <f t="shared" si="0"/>
        <v>240.23858994640284</v>
      </c>
      <c r="T55" s="59">
        <v>4359.37</v>
      </c>
      <c r="U55" s="85" t="s">
        <v>158</v>
      </c>
    </row>
    <row r="56" spans="1:21" s="25" customFormat="1" ht="12.75" customHeight="1">
      <c r="A56" s="113">
        <v>214</v>
      </c>
      <c r="B56" s="83">
        <v>43</v>
      </c>
      <c r="C56" s="98" t="s">
        <v>111</v>
      </c>
      <c r="D56" s="26">
        <v>1972</v>
      </c>
      <c r="E56" s="57" t="s">
        <v>148</v>
      </c>
      <c r="F56" s="111" t="s">
        <v>82</v>
      </c>
      <c r="G56" s="26">
        <v>5</v>
      </c>
      <c r="H56" s="26">
        <v>6</v>
      </c>
      <c r="I56" s="45">
        <f>4373.23+182.7+342.5+270+930</f>
        <v>6098.429999999999</v>
      </c>
      <c r="J56" s="45">
        <f>4373.23+182.7</f>
        <v>4555.929999999999</v>
      </c>
      <c r="K56" s="45">
        <v>3773.78</v>
      </c>
      <c r="L56" s="26">
        <v>209</v>
      </c>
      <c r="M56" s="153" t="s">
        <v>159</v>
      </c>
      <c r="N56" s="28">
        <v>992588</v>
      </c>
      <c r="O56" s="28">
        <v>686851</v>
      </c>
      <c r="P56" s="28">
        <v>128054</v>
      </c>
      <c r="Q56" s="28">
        <v>128054</v>
      </c>
      <c r="R56" s="28">
        <v>49629</v>
      </c>
      <c r="S56" s="59">
        <f t="shared" si="0"/>
        <v>217.86726310544722</v>
      </c>
      <c r="T56" s="59">
        <v>4359.37</v>
      </c>
      <c r="U56" s="85" t="s">
        <v>158</v>
      </c>
    </row>
    <row r="57" spans="1:21" s="25" customFormat="1" ht="12.75" customHeight="1">
      <c r="A57" s="113">
        <v>61</v>
      </c>
      <c r="B57" s="83">
        <v>44</v>
      </c>
      <c r="C57" s="29" t="s">
        <v>75</v>
      </c>
      <c r="D57" s="26">
        <v>1959</v>
      </c>
      <c r="E57" s="57" t="s">
        <v>148</v>
      </c>
      <c r="F57" s="111" t="s">
        <v>82</v>
      </c>
      <c r="G57" s="26">
        <v>5</v>
      </c>
      <c r="H57" s="26">
        <v>4</v>
      </c>
      <c r="I57" s="45">
        <v>5164.28</v>
      </c>
      <c r="J57" s="45">
        <f>3452.3+460.1</f>
        <v>3912.4</v>
      </c>
      <c r="K57" s="45">
        <v>3156.2</v>
      </c>
      <c r="L57" s="26">
        <v>132</v>
      </c>
      <c r="M57" s="153" t="s">
        <v>159</v>
      </c>
      <c r="N57" s="28">
        <v>1367598</v>
      </c>
      <c r="O57" s="28">
        <v>946350</v>
      </c>
      <c r="P57" s="28">
        <v>176434</v>
      </c>
      <c r="Q57" s="28">
        <v>176434</v>
      </c>
      <c r="R57" s="28">
        <v>68380</v>
      </c>
      <c r="S57" s="59">
        <f t="shared" si="0"/>
        <v>349.5547490031694</v>
      </c>
      <c r="T57" s="59">
        <v>4359.37</v>
      </c>
      <c r="U57" s="85" t="s">
        <v>158</v>
      </c>
    </row>
    <row r="58" spans="1:21" s="25" customFormat="1" ht="12.75" customHeight="1">
      <c r="A58" s="113">
        <v>73</v>
      </c>
      <c r="B58" s="83">
        <v>45</v>
      </c>
      <c r="C58" s="29" t="s">
        <v>134</v>
      </c>
      <c r="D58" s="26">
        <v>1961</v>
      </c>
      <c r="E58" s="57" t="s">
        <v>148</v>
      </c>
      <c r="F58" s="111" t="s">
        <v>82</v>
      </c>
      <c r="G58" s="26">
        <v>5</v>
      </c>
      <c r="H58" s="26">
        <v>4</v>
      </c>
      <c r="I58" s="45">
        <f>3088.28+241.2+857.8+858</f>
        <v>5045.28</v>
      </c>
      <c r="J58" s="45">
        <v>3088.28</v>
      </c>
      <c r="K58" s="45">
        <v>2414.18</v>
      </c>
      <c r="L58" s="26">
        <v>162</v>
      </c>
      <c r="M58" s="153" t="s">
        <v>159</v>
      </c>
      <c r="N58" s="28">
        <v>4450022</v>
      </c>
      <c r="O58" s="28">
        <v>3079327</v>
      </c>
      <c r="P58" s="28">
        <v>574097</v>
      </c>
      <c r="Q58" s="28">
        <v>574097</v>
      </c>
      <c r="R58" s="28">
        <v>222501</v>
      </c>
      <c r="S58" s="59">
        <f t="shared" si="0"/>
        <v>1440.9386454596086</v>
      </c>
      <c r="T58" s="59">
        <v>4359.37</v>
      </c>
      <c r="U58" s="85" t="s">
        <v>158</v>
      </c>
    </row>
    <row r="59" spans="1:21" s="25" customFormat="1" ht="12.75" customHeight="1">
      <c r="A59" s="113">
        <v>182</v>
      </c>
      <c r="B59" s="83">
        <v>46</v>
      </c>
      <c r="C59" s="29" t="s">
        <v>137</v>
      </c>
      <c r="D59" s="26">
        <v>1960</v>
      </c>
      <c r="E59" s="57" t="s">
        <v>148</v>
      </c>
      <c r="F59" s="111" t="s">
        <v>82</v>
      </c>
      <c r="G59" s="26">
        <v>5</v>
      </c>
      <c r="H59" s="26">
        <v>4</v>
      </c>
      <c r="I59" s="45">
        <f>3221.95+242+661.7</f>
        <v>4125.65</v>
      </c>
      <c r="J59" s="45">
        <v>3221.95</v>
      </c>
      <c r="K59" s="45">
        <v>2826.95</v>
      </c>
      <c r="L59" s="26">
        <v>161</v>
      </c>
      <c r="M59" s="153" t="s">
        <v>159</v>
      </c>
      <c r="N59" s="28">
        <v>2709757</v>
      </c>
      <c r="O59" s="28">
        <v>1875097</v>
      </c>
      <c r="P59" s="28">
        <v>349586</v>
      </c>
      <c r="Q59" s="28">
        <v>349586</v>
      </c>
      <c r="R59" s="28">
        <v>135488</v>
      </c>
      <c r="S59" s="59">
        <f t="shared" si="0"/>
        <v>841.0301215102655</v>
      </c>
      <c r="T59" s="59">
        <v>4359.37</v>
      </c>
      <c r="U59" s="85" t="s">
        <v>158</v>
      </c>
    </row>
    <row r="60" spans="1:21" s="25" customFormat="1" ht="12.75" customHeight="1">
      <c r="A60" s="113">
        <v>128</v>
      </c>
      <c r="B60" s="83">
        <v>47</v>
      </c>
      <c r="C60" s="29" t="s">
        <v>98</v>
      </c>
      <c r="D60" s="26">
        <v>1980</v>
      </c>
      <c r="E60" s="57" t="s">
        <v>148</v>
      </c>
      <c r="F60" s="111" t="s">
        <v>82</v>
      </c>
      <c r="G60" s="26">
        <v>9</v>
      </c>
      <c r="H60" s="26">
        <v>3</v>
      </c>
      <c r="I60" s="45">
        <f>6934.52+98.5+425.4+420.1+709.3</f>
        <v>8587.82</v>
      </c>
      <c r="J60" s="45">
        <f>6934.52+98.5</f>
        <v>7033.02</v>
      </c>
      <c r="K60" s="45">
        <v>6934.52</v>
      </c>
      <c r="L60" s="26">
        <v>321</v>
      </c>
      <c r="M60" s="153" t="s">
        <v>159</v>
      </c>
      <c r="N60" s="28">
        <v>2771859</v>
      </c>
      <c r="O60" s="28">
        <v>1918070</v>
      </c>
      <c r="P60" s="28">
        <v>357598</v>
      </c>
      <c r="Q60" s="28">
        <v>357598</v>
      </c>
      <c r="R60" s="28">
        <v>138593</v>
      </c>
      <c r="S60" s="59">
        <f t="shared" si="0"/>
        <v>394.120733340727</v>
      </c>
      <c r="T60" s="59">
        <v>4359.37</v>
      </c>
      <c r="U60" s="85" t="s">
        <v>158</v>
      </c>
    </row>
    <row r="61" spans="1:21" s="25" customFormat="1" ht="12.75" customHeight="1">
      <c r="A61" s="113">
        <v>197</v>
      </c>
      <c r="B61" s="83">
        <v>48</v>
      </c>
      <c r="C61" s="98" t="s">
        <v>106</v>
      </c>
      <c r="D61" s="26">
        <v>1960</v>
      </c>
      <c r="E61" s="57" t="s">
        <v>148</v>
      </c>
      <c r="F61" s="111" t="s">
        <v>82</v>
      </c>
      <c r="G61" s="26">
        <v>6</v>
      </c>
      <c r="H61" s="26">
        <v>3</v>
      </c>
      <c r="I61" s="45">
        <f>4422.76+96.8+224.7+283</f>
        <v>5027.26</v>
      </c>
      <c r="J61" s="45">
        <f>4422.76+96.8</f>
        <v>4519.56</v>
      </c>
      <c r="K61" s="45">
        <v>4196.26</v>
      </c>
      <c r="L61" s="26">
        <v>169</v>
      </c>
      <c r="M61" s="153" t="s">
        <v>159</v>
      </c>
      <c r="N61" s="28">
        <v>2350200</v>
      </c>
      <c r="O61" s="26">
        <v>1626292</v>
      </c>
      <c r="P61" s="26">
        <v>303199</v>
      </c>
      <c r="Q61" s="26">
        <v>303199</v>
      </c>
      <c r="R61" s="26">
        <v>117510</v>
      </c>
      <c r="S61" s="59">
        <f t="shared" si="0"/>
        <v>520.0063723017284</v>
      </c>
      <c r="T61" s="59">
        <v>4359.37</v>
      </c>
      <c r="U61" s="85" t="s">
        <v>158</v>
      </c>
    </row>
    <row r="62" spans="1:22" ht="12.75" customHeight="1">
      <c r="A62" s="113">
        <v>211</v>
      </c>
      <c r="B62" s="83">
        <v>49</v>
      </c>
      <c r="C62" s="98" t="s">
        <v>109</v>
      </c>
      <c r="D62" s="26">
        <v>1972</v>
      </c>
      <c r="E62" s="57" t="s">
        <v>148</v>
      </c>
      <c r="F62" s="111" t="s">
        <v>83</v>
      </c>
      <c r="G62" s="26">
        <v>5</v>
      </c>
      <c r="H62" s="26">
        <v>6</v>
      </c>
      <c r="I62" s="45">
        <f>3965+412.3+833.7</f>
        <v>5211</v>
      </c>
      <c r="J62" s="45">
        <v>3965</v>
      </c>
      <c r="K62" s="45">
        <v>3360.6</v>
      </c>
      <c r="L62" s="26">
        <v>174</v>
      </c>
      <c r="M62" s="153" t="s">
        <v>159</v>
      </c>
      <c r="N62" s="28">
        <v>909234</v>
      </c>
      <c r="O62" s="28">
        <v>629172</v>
      </c>
      <c r="P62" s="28">
        <v>117300</v>
      </c>
      <c r="Q62" s="28">
        <v>117300</v>
      </c>
      <c r="R62" s="28">
        <v>45462</v>
      </c>
      <c r="S62" s="59">
        <f t="shared" si="0"/>
        <v>229.31500630517024</v>
      </c>
      <c r="T62" s="59">
        <v>4359.37</v>
      </c>
      <c r="U62" s="85" t="s">
        <v>158</v>
      </c>
      <c r="V62" s="25"/>
    </row>
    <row r="63" spans="1:22" ht="12.75" customHeight="1">
      <c r="A63" s="113">
        <v>475</v>
      </c>
      <c r="B63" s="83">
        <v>50</v>
      </c>
      <c r="C63" s="98" t="s">
        <v>130</v>
      </c>
      <c r="D63" s="26">
        <v>1984</v>
      </c>
      <c r="E63" s="57" t="s">
        <v>148</v>
      </c>
      <c r="F63" s="111" t="s">
        <v>83</v>
      </c>
      <c r="G63" s="26">
        <v>9</v>
      </c>
      <c r="H63" s="26">
        <v>4</v>
      </c>
      <c r="I63" s="45">
        <f>11217.17+888+591.3+1285.3+18+56</f>
        <v>14055.769999999999</v>
      </c>
      <c r="J63" s="45">
        <v>11217.17</v>
      </c>
      <c r="K63" s="45">
        <v>10302.57</v>
      </c>
      <c r="L63" s="26">
        <v>534</v>
      </c>
      <c r="M63" s="153" t="s">
        <v>159</v>
      </c>
      <c r="N63" s="28">
        <v>2346014</v>
      </c>
      <c r="O63" s="28">
        <v>1623395</v>
      </c>
      <c r="P63" s="28">
        <v>302659</v>
      </c>
      <c r="Q63" s="28">
        <v>302659</v>
      </c>
      <c r="R63" s="28">
        <v>117301</v>
      </c>
      <c r="S63" s="59">
        <f t="shared" si="0"/>
        <v>209.14490909917563</v>
      </c>
      <c r="T63" s="59">
        <v>4359.37</v>
      </c>
      <c r="U63" s="85" t="s">
        <v>158</v>
      </c>
      <c r="V63" s="25"/>
    </row>
    <row r="64" spans="1:22" ht="12.75" customHeight="1">
      <c r="A64" s="113">
        <v>206</v>
      </c>
      <c r="B64" s="83">
        <v>51</v>
      </c>
      <c r="C64" s="98" t="s">
        <v>107</v>
      </c>
      <c r="D64" s="26">
        <v>1971</v>
      </c>
      <c r="E64" s="57" t="s">
        <v>148</v>
      </c>
      <c r="F64" s="111" t="s">
        <v>82</v>
      </c>
      <c r="G64" s="26">
        <v>9</v>
      </c>
      <c r="H64" s="26">
        <v>3</v>
      </c>
      <c r="I64" s="45">
        <f>5906+691+354.8+487.5+594.6</f>
        <v>8033.900000000001</v>
      </c>
      <c r="J64" s="45">
        <f>5906+691</f>
        <v>6597</v>
      </c>
      <c r="K64" s="45">
        <v>5021</v>
      </c>
      <c r="L64" s="26">
        <v>277</v>
      </c>
      <c r="M64" s="153" t="s">
        <v>159</v>
      </c>
      <c r="N64" s="28">
        <v>906152</v>
      </c>
      <c r="O64" s="28">
        <v>627038</v>
      </c>
      <c r="P64" s="28">
        <v>116903</v>
      </c>
      <c r="Q64" s="28">
        <v>116903</v>
      </c>
      <c r="R64" s="28">
        <v>45308</v>
      </c>
      <c r="S64" s="59">
        <f t="shared" si="0"/>
        <v>137.358193118084</v>
      </c>
      <c r="T64" s="59">
        <v>4359.37</v>
      </c>
      <c r="U64" s="85" t="s">
        <v>158</v>
      </c>
      <c r="V64" s="25"/>
    </row>
    <row r="65" spans="1:22" ht="12.75" customHeight="1">
      <c r="A65" s="113">
        <v>33</v>
      </c>
      <c r="B65" s="83">
        <v>52</v>
      </c>
      <c r="C65" s="29" t="s">
        <v>84</v>
      </c>
      <c r="D65" s="26">
        <v>1966</v>
      </c>
      <c r="E65" s="57" t="s">
        <v>148</v>
      </c>
      <c r="F65" s="111" t="s">
        <v>82</v>
      </c>
      <c r="G65" s="26">
        <v>4</v>
      </c>
      <c r="H65" s="26">
        <v>4</v>
      </c>
      <c r="I65" s="45">
        <f>2356+38.5+239.2+561.2+520.71</f>
        <v>3715.6099999999997</v>
      </c>
      <c r="J65" s="45">
        <f>2356+38.5</f>
        <v>2394.5</v>
      </c>
      <c r="K65" s="45">
        <v>1911.6</v>
      </c>
      <c r="L65" s="26">
        <v>87</v>
      </c>
      <c r="M65" s="153" t="s">
        <v>159</v>
      </c>
      <c r="N65" s="28">
        <v>1185621</v>
      </c>
      <c r="O65" s="28">
        <v>820426</v>
      </c>
      <c r="P65" s="28">
        <v>152957</v>
      </c>
      <c r="Q65" s="28">
        <v>152957</v>
      </c>
      <c r="R65" s="28">
        <v>59281</v>
      </c>
      <c r="S65" s="59">
        <f t="shared" si="0"/>
        <v>495.1434537481729</v>
      </c>
      <c r="T65" s="59">
        <v>4359.37</v>
      </c>
      <c r="U65" s="85" t="s">
        <v>158</v>
      </c>
      <c r="V65" s="25"/>
    </row>
    <row r="66" spans="1:22" ht="12.75" customHeight="1">
      <c r="A66" s="113">
        <v>34</v>
      </c>
      <c r="B66" s="83">
        <v>53</v>
      </c>
      <c r="C66" s="29" t="s">
        <v>85</v>
      </c>
      <c r="D66" s="26">
        <v>1963</v>
      </c>
      <c r="E66" s="57" t="s">
        <v>148</v>
      </c>
      <c r="F66" s="111" t="s">
        <v>82</v>
      </c>
      <c r="G66" s="26">
        <v>5</v>
      </c>
      <c r="H66" s="26">
        <v>3</v>
      </c>
      <c r="I66" s="45">
        <f>2374.1+143.4+183+533.3+433.3</f>
        <v>3667.1000000000004</v>
      </c>
      <c r="J66" s="45">
        <f>2374.1+143.4</f>
        <v>2517.5</v>
      </c>
      <c r="K66" s="45">
        <v>1871.4</v>
      </c>
      <c r="L66" s="26">
        <v>129</v>
      </c>
      <c r="M66" s="153" t="s">
        <v>159</v>
      </c>
      <c r="N66" s="28">
        <v>982171</v>
      </c>
      <c r="O66" s="28">
        <v>679642</v>
      </c>
      <c r="P66" s="28">
        <v>126710</v>
      </c>
      <c r="Q66" s="28">
        <v>126710</v>
      </c>
      <c r="R66" s="28">
        <v>49109</v>
      </c>
      <c r="S66" s="59">
        <f t="shared" si="0"/>
        <v>390.1374379344588</v>
      </c>
      <c r="T66" s="59">
        <v>4359.37</v>
      </c>
      <c r="U66" s="85" t="s">
        <v>158</v>
      </c>
      <c r="V66" s="25"/>
    </row>
    <row r="67" spans="1:22" ht="12.75" customHeight="1">
      <c r="A67" s="113">
        <v>39</v>
      </c>
      <c r="B67" s="83">
        <v>54</v>
      </c>
      <c r="C67" s="29" t="s">
        <v>88</v>
      </c>
      <c r="D67" s="26">
        <v>1962</v>
      </c>
      <c r="E67" s="57" t="s">
        <v>148</v>
      </c>
      <c r="F67" s="111" t="s">
        <v>82</v>
      </c>
      <c r="G67" s="26">
        <v>5</v>
      </c>
      <c r="H67" s="26">
        <v>3</v>
      </c>
      <c r="I67" s="45">
        <v>3795.42</v>
      </c>
      <c r="J67" s="45">
        <f>2484.5+63.1</f>
        <v>2547.6</v>
      </c>
      <c r="K67" s="45">
        <v>2181.6</v>
      </c>
      <c r="L67" s="26">
        <v>107</v>
      </c>
      <c r="M67" s="153" t="s">
        <v>159</v>
      </c>
      <c r="N67" s="28">
        <v>1109925</v>
      </c>
      <c r="O67" s="28">
        <v>768047</v>
      </c>
      <c r="P67" s="28">
        <v>143191</v>
      </c>
      <c r="Q67" s="28">
        <v>143191</v>
      </c>
      <c r="R67" s="28">
        <v>55496</v>
      </c>
      <c r="S67" s="59">
        <f t="shared" si="0"/>
        <v>435.67475270843147</v>
      </c>
      <c r="T67" s="59">
        <v>4359.37</v>
      </c>
      <c r="U67" s="85" t="s">
        <v>158</v>
      </c>
      <c r="V67" s="25"/>
    </row>
    <row r="68" spans="1:22" ht="12.75" customHeight="1">
      <c r="A68" s="113">
        <v>121</v>
      </c>
      <c r="B68" s="83">
        <v>55</v>
      </c>
      <c r="C68" s="29" t="s">
        <v>96</v>
      </c>
      <c r="D68" s="26">
        <v>1965</v>
      </c>
      <c r="E68" s="57" t="s">
        <v>148</v>
      </c>
      <c r="F68" s="111" t="s">
        <v>82</v>
      </c>
      <c r="G68" s="26">
        <v>5</v>
      </c>
      <c r="H68" s="26">
        <v>2</v>
      </c>
      <c r="I68" s="45">
        <v>2247</v>
      </c>
      <c r="J68" s="45">
        <v>1577</v>
      </c>
      <c r="K68" s="45">
        <v>1501.2</v>
      </c>
      <c r="L68" s="26">
        <v>63</v>
      </c>
      <c r="M68" s="153" t="s">
        <v>159</v>
      </c>
      <c r="N68" s="28">
        <v>1092471</v>
      </c>
      <c r="O68" s="28">
        <v>755967</v>
      </c>
      <c r="P68" s="28">
        <v>140940</v>
      </c>
      <c r="Q68" s="28">
        <v>140940</v>
      </c>
      <c r="R68" s="28">
        <v>54624</v>
      </c>
      <c r="S68" s="59">
        <f t="shared" si="0"/>
        <v>692.7526949904883</v>
      </c>
      <c r="T68" s="59">
        <v>4359.37</v>
      </c>
      <c r="U68" s="85" t="s">
        <v>158</v>
      </c>
      <c r="V68" s="25"/>
    </row>
    <row r="69" spans="1:22" ht="12.75" customHeight="1">
      <c r="A69" s="113">
        <v>196</v>
      </c>
      <c r="B69" s="83">
        <v>56</v>
      </c>
      <c r="C69" s="29" t="s">
        <v>105</v>
      </c>
      <c r="D69" s="26">
        <v>1952</v>
      </c>
      <c r="E69" s="57" t="s">
        <v>148</v>
      </c>
      <c r="F69" s="111" t="s">
        <v>82</v>
      </c>
      <c r="G69" s="26">
        <v>5</v>
      </c>
      <c r="H69" s="26">
        <v>3</v>
      </c>
      <c r="I69" s="45">
        <f>1373+1334.2+300+612</f>
        <v>3619.2</v>
      </c>
      <c r="J69" s="45">
        <f>1373+1334.2</f>
        <v>2707.2</v>
      </c>
      <c r="K69" s="45">
        <v>1373</v>
      </c>
      <c r="L69" s="26">
        <v>51</v>
      </c>
      <c r="M69" s="153" t="s">
        <v>159</v>
      </c>
      <c r="N69" s="28">
        <v>1538829</v>
      </c>
      <c r="O69" s="28">
        <v>1064840</v>
      </c>
      <c r="P69" s="28">
        <v>198524</v>
      </c>
      <c r="Q69" s="28">
        <v>198524</v>
      </c>
      <c r="R69" s="28">
        <v>76941</v>
      </c>
      <c r="S69" s="59">
        <f t="shared" si="0"/>
        <v>568.4208776595746</v>
      </c>
      <c r="T69" s="59">
        <v>4359.37</v>
      </c>
      <c r="U69" s="85" t="s">
        <v>158</v>
      </c>
      <c r="V69" s="25"/>
    </row>
    <row r="70" spans="1:22" ht="12.75" customHeight="1">
      <c r="A70" s="113">
        <v>9</v>
      </c>
      <c r="B70" s="83">
        <v>57</v>
      </c>
      <c r="C70" s="98" t="s">
        <v>81</v>
      </c>
      <c r="D70" s="26">
        <v>1969</v>
      </c>
      <c r="E70" s="57" t="s">
        <v>148</v>
      </c>
      <c r="F70" s="111" t="s">
        <v>82</v>
      </c>
      <c r="G70" s="26">
        <v>5</v>
      </c>
      <c r="H70" s="26">
        <v>4</v>
      </c>
      <c r="I70" s="45">
        <v>3724.5</v>
      </c>
      <c r="J70" s="45">
        <v>2898.3</v>
      </c>
      <c r="K70" s="45">
        <v>2764</v>
      </c>
      <c r="L70" s="26">
        <v>98</v>
      </c>
      <c r="M70" s="153" t="s">
        <v>159</v>
      </c>
      <c r="N70" s="28">
        <v>1811164</v>
      </c>
      <c r="O70" s="28">
        <v>1253290</v>
      </c>
      <c r="P70" s="28">
        <v>233658</v>
      </c>
      <c r="Q70" s="28">
        <v>233658</v>
      </c>
      <c r="R70" s="28">
        <v>90558</v>
      </c>
      <c r="S70" s="59">
        <f t="shared" si="0"/>
        <v>624.9056343373701</v>
      </c>
      <c r="T70" s="59">
        <v>4359.37</v>
      </c>
      <c r="U70" s="85" t="s">
        <v>158</v>
      </c>
      <c r="V70" s="25"/>
    </row>
    <row r="71" spans="1:22" ht="12.75" customHeight="1">
      <c r="A71" s="113">
        <v>35</v>
      </c>
      <c r="B71" s="83">
        <v>58</v>
      </c>
      <c r="C71" s="29" t="s">
        <v>86</v>
      </c>
      <c r="D71" s="26">
        <v>1966</v>
      </c>
      <c r="E71" s="57" t="s">
        <v>148</v>
      </c>
      <c r="F71" s="111" t="s">
        <v>82</v>
      </c>
      <c r="G71" s="26">
        <v>5</v>
      </c>
      <c r="H71" s="26">
        <v>4</v>
      </c>
      <c r="I71" s="45">
        <v>3710.48</v>
      </c>
      <c r="J71" s="45">
        <f>3106.1+85.7</f>
        <v>3191.7999999999997</v>
      </c>
      <c r="K71" s="45">
        <v>2718.3</v>
      </c>
      <c r="L71" s="26">
        <v>184</v>
      </c>
      <c r="M71" s="153" t="s">
        <v>159</v>
      </c>
      <c r="N71" s="28">
        <v>652729</v>
      </c>
      <c r="O71" s="28">
        <v>451674</v>
      </c>
      <c r="P71" s="28">
        <v>84209</v>
      </c>
      <c r="Q71" s="28">
        <v>84209</v>
      </c>
      <c r="R71" s="28">
        <v>32637</v>
      </c>
      <c r="S71" s="59">
        <f t="shared" si="0"/>
        <v>204.50184848674732</v>
      </c>
      <c r="T71" s="59">
        <v>4359.37</v>
      </c>
      <c r="U71" s="85" t="s">
        <v>158</v>
      </c>
      <c r="V71" s="25"/>
    </row>
    <row r="72" spans="1:22" ht="12.75" customHeight="1">
      <c r="A72" s="113">
        <v>37</v>
      </c>
      <c r="B72" s="83">
        <v>59</v>
      </c>
      <c r="C72" s="29" t="s">
        <v>76</v>
      </c>
      <c r="D72" s="26">
        <v>1960</v>
      </c>
      <c r="E72" s="57" t="s">
        <v>148</v>
      </c>
      <c r="F72" s="111" t="s">
        <v>82</v>
      </c>
      <c r="G72" s="26">
        <v>5</v>
      </c>
      <c r="H72" s="26">
        <v>4</v>
      </c>
      <c r="I72" s="45">
        <v>4854.58</v>
      </c>
      <c r="J72" s="45">
        <v>3441</v>
      </c>
      <c r="K72" s="45">
        <v>3076.3</v>
      </c>
      <c r="L72" s="26">
        <v>180</v>
      </c>
      <c r="M72" s="153" t="s">
        <v>159</v>
      </c>
      <c r="N72" s="28">
        <v>1344426</v>
      </c>
      <c r="O72" s="28">
        <v>930317</v>
      </c>
      <c r="P72" s="28">
        <v>173444</v>
      </c>
      <c r="Q72" s="28">
        <v>173444</v>
      </c>
      <c r="R72" s="28">
        <v>67221</v>
      </c>
      <c r="S72" s="59">
        <f t="shared" si="0"/>
        <v>390.7079337401918</v>
      </c>
      <c r="T72" s="59">
        <v>4359.37</v>
      </c>
      <c r="U72" s="85" t="s">
        <v>158</v>
      </c>
      <c r="V72" s="25"/>
    </row>
    <row r="73" spans="1:22" ht="12.75" customHeight="1">
      <c r="A73" s="113">
        <v>38</v>
      </c>
      <c r="B73" s="83">
        <v>60</v>
      </c>
      <c r="C73" s="29" t="s">
        <v>87</v>
      </c>
      <c r="D73" s="26">
        <v>1964</v>
      </c>
      <c r="E73" s="57" t="s">
        <v>148</v>
      </c>
      <c r="F73" s="111" t="s">
        <v>82</v>
      </c>
      <c r="G73" s="26">
        <v>5</v>
      </c>
      <c r="H73" s="26">
        <v>4</v>
      </c>
      <c r="I73" s="45">
        <v>4839.26</v>
      </c>
      <c r="J73" s="45">
        <f>3080.1+72.2</f>
        <v>3152.2999999999997</v>
      </c>
      <c r="K73" s="45">
        <v>2794</v>
      </c>
      <c r="L73" s="26">
        <v>125</v>
      </c>
      <c r="M73" s="153" t="s">
        <v>159</v>
      </c>
      <c r="N73" s="28">
        <v>1296998</v>
      </c>
      <c r="O73" s="28">
        <v>897496</v>
      </c>
      <c r="P73" s="28">
        <v>167326</v>
      </c>
      <c r="Q73" s="28">
        <v>167326</v>
      </c>
      <c r="R73" s="28">
        <v>64850</v>
      </c>
      <c r="S73" s="59">
        <f t="shared" si="0"/>
        <v>411.4449766836913</v>
      </c>
      <c r="T73" s="59">
        <v>4359.37</v>
      </c>
      <c r="U73" s="85" t="s">
        <v>158</v>
      </c>
      <c r="V73" s="25"/>
    </row>
    <row r="74" spans="1:22" ht="12.75" customHeight="1">
      <c r="A74" s="113">
        <v>416</v>
      </c>
      <c r="B74" s="83">
        <v>61</v>
      </c>
      <c r="C74" s="100" t="s">
        <v>124</v>
      </c>
      <c r="D74" s="26">
        <v>1991</v>
      </c>
      <c r="E74" s="57" t="s">
        <v>148</v>
      </c>
      <c r="F74" s="111" t="s">
        <v>83</v>
      </c>
      <c r="G74" s="26">
        <v>9</v>
      </c>
      <c r="H74" s="26">
        <v>4</v>
      </c>
      <c r="I74" s="45">
        <f>7875.6+456.3+405+1199.2</f>
        <v>9936.1</v>
      </c>
      <c r="J74" s="45">
        <v>7875.6</v>
      </c>
      <c r="K74" s="45">
        <v>6464.8</v>
      </c>
      <c r="L74" s="26">
        <v>380</v>
      </c>
      <c r="M74" s="153" t="s">
        <v>159</v>
      </c>
      <c r="N74" s="28">
        <v>4481940</v>
      </c>
      <c r="O74" s="28">
        <v>3101413</v>
      </c>
      <c r="P74" s="28">
        <v>578215</v>
      </c>
      <c r="Q74" s="28">
        <v>578215</v>
      </c>
      <c r="R74" s="28">
        <v>224097</v>
      </c>
      <c r="S74" s="59">
        <f t="shared" si="0"/>
        <v>569.0918787140027</v>
      </c>
      <c r="T74" s="59">
        <v>4359.37</v>
      </c>
      <c r="U74" s="85" t="s">
        <v>158</v>
      </c>
      <c r="V74" s="25"/>
    </row>
    <row r="75" spans="1:22" ht="12.75" customHeight="1">
      <c r="A75" s="113">
        <v>189</v>
      </c>
      <c r="B75" s="83">
        <v>62</v>
      </c>
      <c r="C75" s="29" t="s">
        <v>104</v>
      </c>
      <c r="D75" s="26">
        <v>1992</v>
      </c>
      <c r="E75" s="57" t="s">
        <v>148</v>
      </c>
      <c r="F75" s="111" t="s">
        <v>83</v>
      </c>
      <c r="G75" s="26">
        <v>9</v>
      </c>
      <c r="H75" s="26">
        <v>5</v>
      </c>
      <c r="I75" s="45">
        <f>9790+840+225+1566+48+16.5</f>
        <v>12485.5</v>
      </c>
      <c r="J75" s="45">
        <v>9790</v>
      </c>
      <c r="K75" s="45">
        <v>9790</v>
      </c>
      <c r="L75" s="26">
        <v>425</v>
      </c>
      <c r="M75" s="153" t="s">
        <v>159</v>
      </c>
      <c r="N75" s="28">
        <v>1524655</v>
      </c>
      <c r="O75" s="28">
        <v>1055030</v>
      </c>
      <c r="P75" s="28">
        <v>196696</v>
      </c>
      <c r="Q75" s="28">
        <v>196696</v>
      </c>
      <c r="R75" s="28">
        <v>76233</v>
      </c>
      <c r="S75" s="59">
        <f t="shared" si="0"/>
        <v>155.73595505617976</v>
      </c>
      <c r="T75" s="59">
        <v>4359.37</v>
      </c>
      <c r="U75" s="85" t="s">
        <v>158</v>
      </c>
      <c r="V75" s="25"/>
    </row>
    <row r="76" spans="1:22" ht="12.75" customHeight="1">
      <c r="A76" s="113">
        <v>134</v>
      </c>
      <c r="B76" s="83">
        <v>63</v>
      </c>
      <c r="C76" s="29" t="s">
        <v>102</v>
      </c>
      <c r="D76" s="26">
        <v>1992</v>
      </c>
      <c r="E76" s="57" t="s">
        <v>148</v>
      </c>
      <c r="F76" s="111" t="s">
        <v>83</v>
      </c>
      <c r="G76" s="26">
        <v>10</v>
      </c>
      <c r="H76" s="26">
        <v>5</v>
      </c>
      <c r="I76" s="45">
        <f>10756.9+38.9+1226.1+220+1477.5+74.3</f>
        <v>13793.699999999999</v>
      </c>
      <c r="J76" s="45">
        <f>10756.9+38.9</f>
        <v>10795.8</v>
      </c>
      <c r="K76" s="45">
        <f>10756.9-1332.1</f>
        <v>9424.8</v>
      </c>
      <c r="L76" s="26">
        <v>528</v>
      </c>
      <c r="M76" s="153" t="s">
        <v>159</v>
      </c>
      <c r="N76" s="28">
        <v>1125698</v>
      </c>
      <c r="O76" s="28">
        <v>778961</v>
      </c>
      <c r="P76" s="28">
        <v>145226</v>
      </c>
      <c r="Q76" s="28">
        <v>145226</v>
      </c>
      <c r="R76" s="28">
        <v>56285</v>
      </c>
      <c r="S76" s="59">
        <f t="shared" si="0"/>
        <v>104.27184645880806</v>
      </c>
      <c r="T76" s="59">
        <v>4359.37</v>
      </c>
      <c r="U76" s="85" t="s">
        <v>158</v>
      </c>
      <c r="V76" s="25"/>
    </row>
    <row r="77" spans="1:22" ht="12.75" customHeight="1">
      <c r="A77" s="113">
        <v>133</v>
      </c>
      <c r="B77" s="83">
        <v>64</v>
      </c>
      <c r="C77" s="29" t="s">
        <v>101</v>
      </c>
      <c r="D77" s="26">
        <v>1966</v>
      </c>
      <c r="E77" s="57" t="s">
        <v>148</v>
      </c>
      <c r="F77" s="111" t="s">
        <v>83</v>
      </c>
      <c r="G77" s="26">
        <v>5</v>
      </c>
      <c r="H77" s="26">
        <v>4</v>
      </c>
      <c r="I77" s="45">
        <f>3536.3+279+876</f>
        <v>4691.3</v>
      </c>
      <c r="J77" s="45">
        <v>3536.3</v>
      </c>
      <c r="K77" s="45">
        <v>3536.3</v>
      </c>
      <c r="L77" s="26">
        <v>189</v>
      </c>
      <c r="M77" s="153" t="s">
        <v>159</v>
      </c>
      <c r="N77" s="28">
        <v>719597</v>
      </c>
      <c r="O77" s="28">
        <v>497947</v>
      </c>
      <c r="P77" s="28">
        <v>92835</v>
      </c>
      <c r="Q77" s="28">
        <v>92835</v>
      </c>
      <c r="R77" s="28">
        <v>35980</v>
      </c>
      <c r="S77" s="59">
        <f t="shared" si="0"/>
        <v>203.48867460339903</v>
      </c>
      <c r="T77" s="59">
        <v>4359.37</v>
      </c>
      <c r="U77" s="85" t="s">
        <v>158</v>
      </c>
      <c r="V77" s="25"/>
    </row>
    <row r="78" spans="1:22" ht="12.75" customHeight="1">
      <c r="A78" s="113">
        <v>414</v>
      </c>
      <c r="B78" s="83">
        <v>65</v>
      </c>
      <c r="C78" s="100" t="s">
        <v>123</v>
      </c>
      <c r="D78" s="26">
        <v>1983</v>
      </c>
      <c r="E78" s="57" t="s">
        <v>148</v>
      </c>
      <c r="F78" s="111" t="s">
        <v>83</v>
      </c>
      <c r="G78" s="26">
        <v>12</v>
      </c>
      <c r="H78" s="26">
        <v>2</v>
      </c>
      <c r="I78" s="45">
        <f>4747.4+335+51.8+448.5+32.8</f>
        <v>5615.5</v>
      </c>
      <c r="J78" s="45">
        <v>4747.4</v>
      </c>
      <c r="K78" s="45">
        <v>4472.4</v>
      </c>
      <c r="L78" s="26">
        <v>210</v>
      </c>
      <c r="M78" s="153" t="s">
        <v>159</v>
      </c>
      <c r="N78" s="28">
        <v>817542</v>
      </c>
      <c r="O78" s="28">
        <v>565723</v>
      </c>
      <c r="P78" s="28">
        <v>105471</v>
      </c>
      <c r="Q78" s="28">
        <v>105471</v>
      </c>
      <c r="R78" s="28">
        <v>40877</v>
      </c>
      <c r="S78" s="59">
        <f t="shared" si="0"/>
        <v>172.20836668492228</v>
      </c>
      <c r="T78" s="59">
        <v>4359.37</v>
      </c>
      <c r="U78" s="85" t="s">
        <v>158</v>
      </c>
      <c r="V78" s="25"/>
    </row>
    <row r="79" spans="1:22" ht="12.75" customHeight="1" thickBot="1">
      <c r="A79" s="113">
        <v>480</v>
      </c>
      <c r="B79" s="116">
        <v>66</v>
      </c>
      <c r="C79" s="108" t="s">
        <v>131</v>
      </c>
      <c r="D79" s="109">
        <v>1972</v>
      </c>
      <c r="E79" s="118" t="s">
        <v>148</v>
      </c>
      <c r="F79" s="119" t="s">
        <v>82</v>
      </c>
      <c r="G79" s="109">
        <v>10</v>
      </c>
      <c r="H79" s="109">
        <v>1</v>
      </c>
      <c r="I79" s="101">
        <f>2559.3+148+146+320</f>
        <v>3173.3</v>
      </c>
      <c r="J79" s="101">
        <v>2559.3</v>
      </c>
      <c r="K79" s="101">
        <v>2198</v>
      </c>
      <c r="L79" s="109">
        <v>85</v>
      </c>
      <c r="M79" s="157" t="s">
        <v>159</v>
      </c>
      <c r="N79" s="102">
        <v>1250000</v>
      </c>
      <c r="O79" s="102">
        <v>864974</v>
      </c>
      <c r="P79" s="102">
        <v>161263</v>
      </c>
      <c r="Q79" s="102">
        <v>161263</v>
      </c>
      <c r="R79" s="102">
        <v>62500</v>
      </c>
      <c r="S79" s="159">
        <f>N79/J79</f>
        <v>488.4148009221271</v>
      </c>
      <c r="T79" s="159">
        <v>4359.37</v>
      </c>
      <c r="U79" s="168" t="s">
        <v>158</v>
      </c>
      <c r="V79" s="25"/>
    </row>
    <row r="80" spans="2:21" s="25" customFormat="1" ht="12.75" customHeight="1" thickBot="1">
      <c r="B80" s="170" t="s">
        <v>51</v>
      </c>
      <c r="C80" s="171"/>
      <c r="D80" s="58" t="s">
        <v>19</v>
      </c>
      <c r="E80" s="58" t="s">
        <v>19</v>
      </c>
      <c r="F80" s="58" t="s">
        <v>19</v>
      </c>
      <c r="G80" s="58" t="s">
        <v>19</v>
      </c>
      <c r="H80" s="58" t="s">
        <v>19</v>
      </c>
      <c r="I80" s="72">
        <f>SUM(I14:I79)</f>
        <v>436691.5000000001</v>
      </c>
      <c r="J80" s="72">
        <f>SUM(J14:J79)</f>
        <v>336454.5299999999</v>
      </c>
      <c r="K80" s="72">
        <f>SUM(K14:K79)</f>
        <v>289385.81999999995</v>
      </c>
      <c r="L80" s="44">
        <f>SUM(L14:L79)</f>
        <v>14792</v>
      </c>
      <c r="M80" s="44" t="s">
        <v>79</v>
      </c>
      <c r="N80" s="44">
        <f>SUM(N14:N79)</f>
        <v>104049251</v>
      </c>
      <c r="O80" s="44">
        <f>SUM(O14:O79)</f>
        <v>72000000</v>
      </c>
      <c r="P80" s="44">
        <f>SUM(P14:P79)</f>
        <v>13423394</v>
      </c>
      <c r="Q80" s="44">
        <f>SUM(Q14:Q79)</f>
        <v>13423394</v>
      </c>
      <c r="R80" s="44">
        <f>SUM(R14:R79)</f>
        <v>5202463</v>
      </c>
      <c r="S80" s="44" t="s">
        <v>79</v>
      </c>
      <c r="T80" s="44" t="s">
        <v>79</v>
      </c>
      <c r="U80" s="114" t="s">
        <v>79</v>
      </c>
    </row>
    <row r="81" spans="14:19" ht="12">
      <c r="N81" s="12"/>
      <c r="O81" s="11"/>
      <c r="P81" s="11"/>
      <c r="Q81" s="11"/>
      <c r="R81" s="11"/>
      <c r="S81" s="30"/>
    </row>
    <row r="82" spans="14:19" ht="12">
      <c r="N82" s="12"/>
      <c r="O82" s="11"/>
      <c r="P82" s="11"/>
      <c r="Q82" s="11"/>
      <c r="R82" s="11"/>
      <c r="S82" s="30"/>
    </row>
    <row r="83" spans="14:18" ht="12">
      <c r="N83" s="15"/>
      <c r="O83" s="15"/>
      <c r="P83" s="15"/>
      <c r="Q83" s="15"/>
      <c r="R83" s="15"/>
    </row>
  </sheetData>
  <sheetProtection/>
  <mergeCells count="28">
    <mergeCell ref="B4:U6"/>
    <mergeCell ref="R2:U2"/>
    <mergeCell ref="H7:H11"/>
    <mergeCell ref="I7:I10"/>
    <mergeCell ref="J7:K7"/>
    <mergeCell ref="S7:S10"/>
    <mergeCell ref="Q9:Q10"/>
    <mergeCell ref="R9:R10"/>
    <mergeCell ref="M7:M11"/>
    <mergeCell ref="N7:R7"/>
    <mergeCell ref="G7:G11"/>
    <mergeCell ref="O9:O10"/>
    <mergeCell ref="P9:P10"/>
    <mergeCell ref="L7:L10"/>
    <mergeCell ref="B7:B11"/>
    <mergeCell ref="C7:C11"/>
    <mergeCell ref="D7:E7"/>
    <mergeCell ref="F7:F11"/>
    <mergeCell ref="B13:U13"/>
    <mergeCell ref="B80:C80"/>
    <mergeCell ref="T7:T10"/>
    <mergeCell ref="U7:U11"/>
    <mergeCell ref="D8:D11"/>
    <mergeCell ref="E8:E11"/>
    <mergeCell ref="J8:J10"/>
    <mergeCell ref="K8:K10"/>
    <mergeCell ref="N8:N10"/>
    <mergeCell ref="O8:R8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3.625" style="129" bestFit="1" customWidth="1"/>
    <col min="2" max="2" width="29.125" style="130" bestFit="1" customWidth="1"/>
    <col min="3" max="3" width="12.625" style="130" customWidth="1"/>
    <col min="4" max="4" width="12.00390625" style="130" customWidth="1"/>
    <col min="5" max="8" width="9.125" style="130" customWidth="1"/>
    <col min="9" max="9" width="12.375" style="130" bestFit="1" customWidth="1"/>
    <col min="10" max="12" width="9.125" style="130" customWidth="1"/>
    <col min="13" max="14" width="12.625" style="130" bestFit="1" customWidth="1"/>
    <col min="15" max="16384" width="9.125" style="130" customWidth="1"/>
  </cols>
  <sheetData>
    <row r="1" ht="12.75">
      <c r="N1" s="131"/>
    </row>
    <row r="2" spans="12:14" ht="12.75">
      <c r="L2" s="204" t="s">
        <v>38</v>
      </c>
      <c r="M2" s="204"/>
      <c r="N2" s="204"/>
    </row>
    <row r="3" ht="12.75">
      <c r="A3" s="132"/>
    </row>
    <row r="4" spans="1:14" ht="12.75">
      <c r="A4" s="203" t="s">
        <v>30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12.75">
      <c r="A5" s="203" t="s">
        <v>20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ht="12.7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ht="13.5" thickBot="1"/>
    <row r="8" spans="1:14" s="133" customFormat="1" ht="114" customHeight="1">
      <c r="A8" s="205" t="s">
        <v>0</v>
      </c>
      <c r="B8" s="208" t="s">
        <v>160</v>
      </c>
      <c r="C8" s="211" t="s">
        <v>36</v>
      </c>
      <c r="D8" s="211" t="s">
        <v>21</v>
      </c>
      <c r="E8" s="208" t="s">
        <v>22</v>
      </c>
      <c r="F8" s="208"/>
      <c r="G8" s="208"/>
      <c r="H8" s="208"/>
      <c r="I8" s="208"/>
      <c r="J8" s="208" t="s">
        <v>23</v>
      </c>
      <c r="K8" s="208"/>
      <c r="L8" s="208"/>
      <c r="M8" s="208"/>
      <c r="N8" s="213"/>
    </row>
    <row r="9" spans="1:14" s="133" customFormat="1" ht="12.75">
      <c r="A9" s="206"/>
      <c r="B9" s="209"/>
      <c r="C9" s="212"/>
      <c r="D9" s="212"/>
      <c r="E9" s="134" t="s">
        <v>24</v>
      </c>
      <c r="F9" s="134" t="s">
        <v>25</v>
      </c>
      <c r="G9" s="134" t="s">
        <v>26</v>
      </c>
      <c r="H9" s="134" t="s">
        <v>27</v>
      </c>
      <c r="I9" s="134" t="s">
        <v>39</v>
      </c>
      <c r="J9" s="134" t="s">
        <v>24</v>
      </c>
      <c r="K9" s="134" t="s">
        <v>25</v>
      </c>
      <c r="L9" s="134" t="s">
        <v>26</v>
      </c>
      <c r="M9" s="134" t="s">
        <v>27</v>
      </c>
      <c r="N9" s="135" t="s">
        <v>39</v>
      </c>
    </row>
    <row r="10" spans="1:14" s="133" customFormat="1" ht="13.5" thickBot="1">
      <c r="A10" s="207"/>
      <c r="B10" s="210"/>
      <c r="C10" s="137" t="s">
        <v>37</v>
      </c>
      <c r="D10" s="136" t="s">
        <v>16</v>
      </c>
      <c r="E10" s="136" t="s">
        <v>28</v>
      </c>
      <c r="F10" s="136" t="s">
        <v>28</v>
      </c>
      <c r="G10" s="136" t="s">
        <v>28</v>
      </c>
      <c r="H10" s="136" t="s">
        <v>28</v>
      </c>
      <c r="I10" s="136" t="s">
        <v>28</v>
      </c>
      <c r="J10" s="136" t="s">
        <v>17</v>
      </c>
      <c r="K10" s="136" t="s">
        <v>17</v>
      </c>
      <c r="L10" s="136" t="s">
        <v>17</v>
      </c>
      <c r="M10" s="136" t="s">
        <v>17</v>
      </c>
      <c r="N10" s="138" t="s">
        <v>17</v>
      </c>
    </row>
    <row r="11" spans="1:14" ht="13.5" thickBot="1">
      <c r="A11" s="139">
        <v>1</v>
      </c>
      <c r="B11" s="140">
        <v>2</v>
      </c>
      <c r="C11" s="140">
        <v>3</v>
      </c>
      <c r="D11" s="140">
        <v>4</v>
      </c>
      <c r="E11" s="140">
        <v>5</v>
      </c>
      <c r="F11" s="140">
        <v>6</v>
      </c>
      <c r="G11" s="140">
        <v>7</v>
      </c>
      <c r="H11" s="140">
        <v>8</v>
      </c>
      <c r="I11" s="140">
        <v>9</v>
      </c>
      <c r="J11" s="140">
        <v>10</v>
      </c>
      <c r="K11" s="140">
        <v>11</v>
      </c>
      <c r="L11" s="140">
        <v>12</v>
      </c>
      <c r="M11" s="140">
        <v>13</v>
      </c>
      <c r="N11" s="141">
        <v>14</v>
      </c>
    </row>
    <row r="12" spans="1:14" s="149" customFormat="1" ht="26.25" thickBot="1">
      <c r="A12" s="142">
        <v>1</v>
      </c>
      <c r="B12" s="143" t="s">
        <v>18</v>
      </c>
      <c r="C12" s="144">
        <f>'приложение 1'!I80</f>
        <v>436691.5000000001</v>
      </c>
      <c r="D12" s="145">
        <f>'приложение 1'!L80</f>
        <v>14792</v>
      </c>
      <c r="E12" s="146"/>
      <c r="F12" s="146"/>
      <c r="G12" s="146"/>
      <c r="H12" s="147">
        <v>66</v>
      </c>
      <c r="I12" s="147">
        <v>66</v>
      </c>
      <c r="J12" s="146"/>
      <c r="K12" s="146"/>
      <c r="L12" s="146"/>
      <c r="M12" s="145">
        <v>104049251</v>
      </c>
      <c r="N12" s="148">
        <v>104049251</v>
      </c>
    </row>
  </sheetData>
  <sheetProtection/>
  <mergeCells count="9">
    <mergeCell ref="A4:N4"/>
    <mergeCell ref="L2:N2"/>
    <mergeCell ref="A5:N5"/>
    <mergeCell ref="A8:A10"/>
    <mergeCell ref="B8:B10"/>
    <mergeCell ref="C8:C9"/>
    <mergeCell ref="D8:D9"/>
    <mergeCell ref="E8:I8"/>
    <mergeCell ref="J8:N8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C1">
      <selection activeCell="B17" sqref="B17"/>
    </sheetView>
  </sheetViews>
  <sheetFormatPr defaultColWidth="9.00390625" defaultRowHeight="12.75"/>
  <cols>
    <col min="1" max="1" width="3.875" style="39" customWidth="1"/>
    <col min="2" max="2" width="42.25390625" style="40" customWidth="1"/>
    <col min="3" max="5" width="9.75390625" style="41" customWidth="1"/>
    <col min="6" max="6" width="9.75390625" style="42" customWidth="1"/>
    <col min="7" max="7" width="9.75390625" style="41" customWidth="1"/>
    <col min="8" max="8" width="9.75390625" style="43" customWidth="1"/>
    <col min="9" max="9" width="9.75390625" style="41" customWidth="1"/>
    <col min="10" max="10" width="9.25390625" style="42" customWidth="1"/>
    <col min="11" max="11" width="9.25390625" style="41" customWidth="1"/>
    <col min="12" max="12" width="9.75390625" style="42" customWidth="1"/>
    <col min="13" max="13" width="9.75390625" style="41" customWidth="1"/>
    <col min="14" max="16" width="9.25390625" style="36" customWidth="1"/>
    <col min="17" max="16384" width="9.125" style="36" customWidth="1"/>
  </cols>
  <sheetData>
    <row r="1" spans="1:13" ht="12" customHeight="1">
      <c r="A1" s="31"/>
      <c r="B1" s="32"/>
      <c r="C1" s="33"/>
      <c r="D1" s="33"/>
      <c r="E1" s="33"/>
      <c r="F1" s="34"/>
      <c r="G1" s="33"/>
      <c r="H1" s="35"/>
      <c r="I1" s="33"/>
      <c r="K1" s="53"/>
      <c r="L1" s="53"/>
      <c r="M1" s="53"/>
    </row>
    <row r="2" spans="1:16" ht="12.75" customHeight="1">
      <c r="A2" s="31"/>
      <c r="B2" s="32"/>
      <c r="C2" s="33"/>
      <c r="D2" s="33"/>
      <c r="E2" s="33"/>
      <c r="F2" s="34"/>
      <c r="G2" s="33"/>
      <c r="H2" s="35"/>
      <c r="I2" s="33"/>
      <c r="J2" s="53"/>
      <c r="K2" s="53"/>
      <c r="L2" s="53"/>
      <c r="M2" s="53"/>
      <c r="N2" s="227" t="s">
        <v>40</v>
      </c>
      <c r="O2" s="227"/>
      <c r="P2" s="227"/>
    </row>
    <row r="3" spans="1:16" ht="18.75" customHeight="1">
      <c r="A3" s="225" t="s">
        <v>29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6" ht="16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ht="24.75" customHeight="1" thickBo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6" s="5" customFormat="1" ht="12.75" customHeight="1">
      <c r="A6" s="191" t="s">
        <v>0</v>
      </c>
      <c r="B6" s="194" t="s">
        <v>1</v>
      </c>
      <c r="C6" s="173" t="s">
        <v>157</v>
      </c>
      <c r="D6" s="173" t="s">
        <v>43</v>
      </c>
      <c r="E6" s="173" t="s">
        <v>52</v>
      </c>
      <c r="F6" s="216" t="s">
        <v>45</v>
      </c>
      <c r="G6" s="217"/>
      <c r="H6" s="216" t="s">
        <v>46</v>
      </c>
      <c r="I6" s="217"/>
      <c r="J6" s="216" t="s">
        <v>47</v>
      </c>
      <c r="K6" s="217"/>
      <c r="L6" s="216" t="s">
        <v>48</v>
      </c>
      <c r="M6" s="228"/>
      <c r="N6" s="231" t="s">
        <v>54</v>
      </c>
      <c r="O6" s="231"/>
      <c r="P6" s="233" t="s">
        <v>53</v>
      </c>
    </row>
    <row r="7" spans="1:16" s="5" customFormat="1" ht="12.75" customHeight="1">
      <c r="A7" s="192"/>
      <c r="B7" s="195"/>
      <c r="C7" s="174"/>
      <c r="D7" s="174"/>
      <c r="E7" s="174"/>
      <c r="F7" s="218"/>
      <c r="G7" s="219"/>
      <c r="H7" s="218"/>
      <c r="I7" s="219"/>
      <c r="J7" s="218"/>
      <c r="K7" s="219"/>
      <c r="L7" s="218"/>
      <c r="M7" s="229"/>
      <c r="N7" s="232"/>
      <c r="O7" s="232"/>
      <c r="P7" s="234"/>
    </row>
    <row r="8" spans="1:16" s="5" customFormat="1" ht="30.75" customHeight="1">
      <c r="A8" s="192"/>
      <c r="B8" s="195"/>
      <c r="C8" s="174"/>
      <c r="D8" s="174"/>
      <c r="E8" s="174"/>
      <c r="F8" s="218"/>
      <c r="G8" s="219"/>
      <c r="H8" s="218"/>
      <c r="I8" s="219"/>
      <c r="J8" s="218"/>
      <c r="K8" s="219"/>
      <c r="L8" s="218"/>
      <c r="M8" s="229"/>
      <c r="N8" s="232"/>
      <c r="O8" s="232"/>
      <c r="P8" s="234"/>
    </row>
    <row r="9" spans="1:16" s="5" customFormat="1" ht="109.5" customHeight="1">
      <c r="A9" s="192"/>
      <c r="B9" s="195"/>
      <c r="C9" s="175"/>
      <c r="D9" s="175"/>
      <c r="E9" s="175"/>
      <c r="F9" s="220"/>
      <c r="G9" s="221"/>
      <c r="H9" s="220"/>
      <c r="I9" s="221"/>
      <c r="J9" s="220"/>
      <c r="K9" s="221"/>
      <c r="L9" s="220"/>
      <c r="M9" s="230"/>
      <c r="N9" s="232"/>
      <c r="O9" s="232"/>
      <c r="P9" s="234"/>
    </row>
    <row r="10" spans="1:16" s="5" customFormat="1" ht="19.5" customHeight="1" thickBot="1">
      <c r="A10" s="193"/>
      <c r="B10" s="196"/>
      <c r="C10" s="67" t="s">
        <v>17</v>
      </c>
      <c r="D10" s="67" t="s">
        <v>17</v>
      </c>
      <c r="E10" s="67" t="s">
        <v>17</v>
      </c>
      <c r="F10" s="67" t="s">
        <v>44</v>
      </c>
      <c r="G10" s="67" t="s">
        <v>17</v>
      </c>
      <c r="H10" s="51" t="s">
        <v>28</v>
      </c>
      <c r="I10" s="67" t="s">
        <v>17</v>
      </c>
      <c r="J10" s="67" t="s">
        <v>44</v>
      </c>
      <c r="K10" s="67" t="s">
        <v>17</v>
      </c>
      <c r="L10" s="67" t="s">
        <v>44</v>
      </c>
      <c r="M10" s="68" t="s">
        <v>17</v>
      </c>
      <c r="N10" s="69" t="s">
        <v>55</v>
      </c>
      <c r="O10" s="69" t="s">
        <v>17</v>
      </c>
      <c r="P10" s="70" t="s">
        <v>17</v>
      </c>
    </row>
    <row r="11" spans="1:16" s="37" customFormat="1" ht="13.5" thickBot="1">
      <c r="A11" s="61">
        <v>1</v>
      </c>
      <c r="B11" s="62">
        <v>2</v>
      </c>
      <c r="C11" s="62">
        <v>3</v>
      </c>
      <c r="D11" s="62">
        <v>4</v>
      </c>
      <c r="E11" s="62">
        <v>5</v>
      </c>
      <c r="F11" s="62">
        <v>6</v>
      </c>
      <c r="G11" s="62">
        <v>7</v>
      </c>
      <c r="H11" s="62">
        <v>8</v>
      </c>
      <c r="I11" s="62">
        <v>9</v>
      </c>
      <c r="J11" s="62">
        <v>10</v>
      </c>
      <c r="K11" s="62">
        <v>11</v>
      </c>
      <c r="L11" s="62">
        <v>12</v>
      </c>
      <c r="M11" s="63">
        <v>13</v>
      </c>
      <c r="N11" s="64">
        <v>14</v>
      </c>
      <c r="O11" s="64">
        <v>15</v>
      </c>
      <c r="P11" s="65">
        <v>16</v>
      </c>
    </row>
    <row r="12" spans="1:16" s="38" customFormat="1" ht="13.5" customHeight="1" thickBot="1">
      <c r="A12" s="222" t="s">
        <v>18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4"/>
    </row>
    <row r="13" spans="1:16" s="38" customFormat="1" ht="13.5" customHeight="1">
      <c r="A13" s="92">
        <v>1</v>
      </c>
      <c r="B13" s="76" t="s">
        <v>90</v>
      </c>
      <c r="C13" s="48">
        <f aca="true" t="shared" si="0" ref="C13:C28">D13+E13+G13+I13+K13+M13+O13+P13</f>
        <v>1413657</v>
      </c>
      <c r="D13" s="48"/>
      <c r="E13" s="48"/>
      <c r="F13" s="59">
        <v>1315</v>
      </c>
      <c r="G13" s="48">
        <v>1413657</v>
      </c>
      <c r="H13" s="57"/>
      <c r="I13" s="48"/>
      <c r="J13" s="59"/>
      <c r="K13" s="48"/>
      <c r="L13" s="59"/>
      <c r="M13" s="48"/>
      <c r="N13" s="48"/>
      <c r="O13" s="48"/>
      <c r="P13" s="106"/>
    </row>
    <row r="14" spans="1:16" s="38" customFormat="1" ht="13.5" customHeight="1">
      <c r="A14" s="83">
        <v>2</v>
      </c>
      <c r="B14" s="98" t="s">
        <v>114</v>
      </c>
      <c r="C14" s="28">
        <f t="shared" si="0"/>
        <v>1169146</v>
      </c>
      <c r="D14" s="28"/>
      <c r="E14" s="28"/>
      <c r="F14" s="28">
        <v>1740</v>
      </c>
      <c r="G14" s="28">
        <v>1169146</v>
      </c>
      <c r="H14" s="28"/>
      <c r="I14" s="28"/>
      <c r="J14" s="28"/>
      <c r="K14" s="28"/>
      <c r="L14" s="28"/>
      <c r="M14" s="28"/>
      <c r="N14" s="28"/>
      <c r="O14" s="28"/>
      <c r="P14" s="93"/>
    </row>
    <row r="15" spans="1:16" s="38" customFormat="1" ht="13.5" customHeight="1">
      <c r="A15" s="83">
        <v>3</v>
      </c>
      <c r="B15" s="98" t="s">
        <v>118</v>
      </c>
      <c r="C15" s="28">
        <f t="shared" si="0"/>
        <v>1350000</v>
      </c>
      <c r="D15" s="28"/>
      <c r="E15" s="28"/>
      <c r="F15" s="28"/>
      <c r="G15" s="28"/>
      <c r="H15" s="28">
        <v>1</v>
      </c>
      <c r="I15" s="28">
        <v>1350000</v>
      </c>
      <c r="J15" s="28"/>
      <c r="K15" s="28"/>
      <c r="L15" s="28"/>
      <c r="M15" s="28"/>
      <c r="N15" s="28"/>
      <c r="O15" s="28"/>
      <c r="P15" s="93"/>
    </row>
    <row r="16" spans="1:16" s="38" customFormat="1" ht="13.5" customHeight="1">
      <c r="A16" s="83">
        <v>4</v>
      </c>
      <c r="B16" s="29" t="s">
        <v>136</v>
      </c>
      <c r="C16" s="28">
        <f t="shared" si="0"/>
        <v>3052091</v>
      </c>
      <c r="D16" s="28">
        <f>1330826+287499+265014</f>
        <v>1883339</v>
      </c>
      <c r="E16" s="28"/>
      <c r="F16" s="45">
        <v>850</v>
      </c>
      <c r="G16" s="28">
        <v>1168752</v>
      </c>
      <c r="H16" s="26"/>
      <c r="I16" s="28"/>
      <c r="J16" s="45"/>
      <c r="K16" s="28"/>
      <c r="L16" s="45"/>
      <c r="M16" s="28"/>
      <c r="N16" s="28"/>
      <c r="O16" s="28"/>
      <c r="P16" s="93"/>
    </row>
    <row r="17" spans="1:16" s="38" customFormat="1" ht="13.5" customHeight="1">
      <c r="A17" s="83">
        <v>5</v>
      </c>
      <c r="B17" s="29" t="s">
        <v>135</v>
      </c>
      <c r="C17" s="28">
        <f t="shared" si="0"/>
        <v>2804995</v>
      </c>
      <c r="D17" s="28"/>
      <c r="E17" s="28"/>
      <c r="F17" s="45">
        <v>1700</v>
      </c>
      <c r="G17" s="28">
        <v>2804995</v>
      </c>
      <c r="H17" s="26"/>
      <c r="I17" s="28"/>
      <c r="J17" s="45"/>
      <c r="K17" s="28"/>
      <c r="L17" s="45"/>
      <c r="M17" s="28"/>
      <c r="N17" s="28"/>
      <c r="O17" s="28"/>
      <c r="P17" s="93"/>
    </row>
    <row r="18" spans="1:16" s="38" customFormat="1" ht="13.5" customHeight="1">
      <c r="A18" s="83">
        <v>6</v>
      </c>
      <c r="B18" s="29" t="s">
        <v>138</v>
      </c>
      <c r="C18" s="28">
        <f t="shared" si="0"/>
        <v>1318644</v>
      </c>
      <c r="D18" s="28"/>
      <c r="E18" s="28"/>
      <c r="F18" s="45">
        <v>785</v>
      </c>
      <c r="G18" s="28">
        <v>1318644</v>
      </c>
      <c r="H18" s="26"/>
      <c r="I18" s="28"/>
      <c r="J18" s="45"/>
      <c r="K18" s="28"/>
      <c r="L18" s="45"/>
      <c r="M18" s="28"/>
      <c r="N18" s="28"/>
      <c r="O18" s="28"/>
      <c r="P18" s="93"/>
    </row>
    <row r="19" spans="1:16" s="38" customFormat="1" ht="13.5" customHeight="1">
      <c r="A19" s="83">
        <v>7</v>
      </c>
      <c r="B19" s="29" t="s">
        <v>99</v>
      </c>
      <c r="C19" s="28">
        <f t="shared" si="0"/>
        <v>1413595</v>
      </c>
      <c r="D19" s="28"/>
      <c r="E19" s="28"/>
      <c r="F19" s="45"/>
      <c r="G19" s="28"/>
      <c r="H19" s="26"/>
      <c r="I19" s="28"/>
      <c r="J19" s="45"/>
      <c r="K19" s="28"/>
      <c r="L19" s="45">
        <v>375</v>
      </c>
      <c r="M19" s="28">
        <v>1413595</v>
      </c>
      <c r="N19" s="28"/>
      <c r="O19" s="28"/>
      <c r="P19" s="93"/>
    </row>
    <row r="20" spans="1:16" s="38" customFormat="1" ht="13.5" customHeight="1">
      <c r="A20" s="83">
        <v>8</v>
      </c>
      <c r="B20" s="29" t="s">
        <v>117</v>
      </c>
      <c r="C20" s="28">
        <f t="shared" si="0"/>
        <v>873092</v>
      </c>
      <c r="D20" s="28"/>
      <c r="E20" s="28"/>
      <c r="F20" s="45">
        <v>1060</v>
      </c>
      <c r="G20" s="28">
        <v>873092</v>
      </c>
      <c r="H20" s="26"/>
      <c r="I20" s="28"/>
      <c r="J20" s="45"/>
      <c r="K20" s="28"/>
      <c r="L20" s="45"/>
      <c r="M20" s="28"/>
      <c r="N20" s="28"/>
      <c r="O20" s="28"/>
      <c r="P20" s="93"/>
    </row>
    <row r="21" spans="1:16" s="38" customFormat="1" ht="13.5" customHeight="1">
      <c r="A21" s="83">
        <v>9</v>
      </c>
      <c r="B21" s="98" t="s">
        <v>113</v>
      </c>
      <c r="C21" s="28">
        <f t="shared" si="0"/>
        <v>1087873</v>
      </c>
      <c r="D21" s="28"/>
      <c r="E21" s="28"/>
      <c r="F21" s="28">
        <v>1253</v>
      </c>
      <c r="G21" s="28">
        <v>1087873</v>
      </c>
      <c r="H21" s="28"/>
      <c r="I21" s="28"/>
      <c r="J21" s="28"/>
      <c r="K21" s="28"/>
      <c r="L21" s="28"/>
      <c r="M21" s="28"/>
      <c r="N21" s="28"/>
      <c r="O21" s="28"/>
      <c r="P21" s="93"/>
    </row>
    <row r="22" spans="1:16" s="38" customFormat="1" ht="13.5" customHeight="1">
      <c r="A22" s="83">
        <v>10</v>
      </c>
      <c r="B22" s="29" t="s">
        <v>133</v>
      </c>
      <c r="C22" s="28">
        <f t="shared" si="0"/>
        <v>804066</v>
      </c>
      <c r="D22" s="28"/>
      <c r="E22" s="28"/>
      <c r="F22" s="45">
        <v>450</v>
      </c>
      <c r="G22" s="28">
        <v>804066</v>
      </c>
      <c r="H22" s="26"/>
      <c r="I22" s="28"/>
      <c r="J22" s="45"/>
      <c r="K22" s="28"/>
      <c r="L22" s="45"/>
      <c r="M22" s="28"/>
      <c r="N22" s="28"/>
      <c r="O22" s="28"/>
      <c r="P22" s="93"/>
    </row>
    <row r="23" spans="1:16" s="38" customFormat="1" ht="13.5" customHeight="1">
      <c r="A23" s="83">
        <v>11</v>
      </c>
      <c r="B23" s="29" t="s">
        <v>132</v>
      </c>
      <c r="C23" s="28">
        <f t="shared" si="0"/>
        <v>847155</v>
      </c>
      <c r="D23" s="28"/>
      <c r="E23" s="28"/>
      <c r="F23" s="45">
        <v>450</v>
      </c>
      <c r="G23" s="28">
        <v>847155</v>
      </c>
      <c r="H23" s="26"/>
      <c r="I23" s="28"/>
      <c r="J23" s="45"/>
      <c r="K23" s="28"/>
      <c r="L23" s="45"/>
      <c r="M23" s="28"/>
      <c r="N23" s="28"/>
      <c r="O23" s="28"/>
      <c r="P23" s="93"/>
    </row>
    <row r="24" spans="1:16" s="38" customFormat="1" ht="13.5" customHeight="1">
      <c r="A24" s="83">
        <v>12</v>
      </c>
      <c r="B24" s="98" t="s">
        <v>125</v>
      </c>
      <c r="C24" s="28">
        <f t="shared" si="0"/>
        <v>1948584</v>
      </c>
      <c r="D24" s="28"/>
      <c r="E24" s="28"/>
      <c r="F24" s="45">
        <v>1164</v>
      </c>
      <c r="G24" s="28">
        <v>1143765</v>
      </c>
      <c r="H24" s="28"/>
      <c r="I24" s="28"/>
      <c r="J24" s="28"/>
      <c r="K24" s="28"/>
      <c r="L24" s="45">
        <v>261.2</v>
      </c>
      <c r="M24" s="28">
        <v>804819</v>
      </c>
      <c r="N24" s="28"/>
      <c r="O24" s="28"/>
      <c r="P24" s="93"/>
    </row>
    <row r="25" spans="1:16" s="38" customFormat="1" ht="13.5" customHeight="1">
      <c r="A25" s="83">
        <v>13</v>
      </c>
      <c r="B25" s="98" t="s">
        <v>116</v>
      </c>
      <c r="C25" s="28">
        <f t="shared" si="0"/>
        <v>1136230</v>
      </c>
      <c r="D25" s="28"/>
      <c r="E25" s="28"/>
      <c r="F25" s="45">
        <v>1638</v>
      </c>
      <c r="G25" s="28">
        <v>1136230</v>
      </c>
      <c r="H25" s="28"/>
      <c r="I25" s="28"/>
      <c r="J25" s="28"/>
      <c r="K25" s="28"/>
      <c r="L25" s="28"/>
      <c r="M25" s="28"/>
      <c r="N25" s="28"/>
      <c r="O25" s="28"/>
      <c r="P25" s="93"/>
    </row>
    <row r="26" spans="1:16" s="38" customFormat="1" ht="13.5" customHeight="1">
      <c r="A26" s="83">
        <v>14</v>
      </c>
      <c r="B26" s="29" t="s">
        <v>73</v>
      </c>
      <c r="C26" s="28">
        <f t="shared" si="0"/>
        <v>2015152</v>
      </c>
      <c r="D26" s="28"/>
      <c r="E26" s="28"/>
      <c r="F26" s="45">
        <v>1970</v>
      </c>
      <c r="G26" s="28">
        <v>2015152</v>
      </c>
      <c r="H26" s="26"/>
      <c r="I26" s="28"/>
      <c r="J26" s="45"/>
      <c r="K26" s="28"/>
      <c r="L26" s="45"/>
      <c r="M26" s="28"/>
      <c r="N26" s="28"/>
      <c r="O26" s="28"/>
      <c r="P26" s="93"/>
    </row>
    <row r="27" spans="1:16" s="38" customFormat="1" ht="13.5" customHeight="1">
      <c r="A27" s="83">
        <v>15</v>
      </c>
      <c r="B27" s="98" t="s">
        <v>108</v>
      </c>
      <c r="C27" s="28">
        <f t="shared" si="0"/>
        <v>279507</v>
      </c>
      <c r="D27" s="28"/>
      <c r="E27" s="28"/>
      <c r="F27" s="45">
        <v>368</v>
      </c>
      <c r="G27" s="28">
        <v>279507</v>
      </c>
      <c r="H27" s="26"/>
      <c r="I27" s="28"/>
      <c r="J27" s="45"/>
      <c r="K27" s="28"/>
      <c r="L27" s="45"/>
      <c r="M27" s="28"/>
      <c r="N27" s="28"/>
      <c r="O27" s="28"/>
      <c r="P27" s="93"/>
    </row>
    <row r="28" spans="1:16" s="38" customFormat="1" ht="13.5" customHeight="1">
      <c r="A28" s="83">
        <v>16</v>
      </c>
      <c r="B28" s="29" t="s">
        <v>100</v>
      </c>
      <c r="C28" s="28">
        <f t="shared" si="0"/>
        <v>584685</v>
      </c>
      <c r="D28" s="28"/>
      <c r="E28" s="28"/>
      <c r="F28" s="45">
        <v>788</v>
      </c>
      <c r="G28" s="28">
        <v>584685</v>
      </c>
      <c r="H28" s="26"/>
      <c r="I28" s="28"/>
      <c r="J28" s="45"/>
      <c r="K28" s="28"/>
      <c r="L28" s="45"/>
      <c r="M28" s="28"/>
      <c r="N28" s="28"/>
      <c r="O28" s="28"/>
      <c r="P28" s="93"/>
    </row>
    <row r="29" spans="1:16" s="38" customFormat="1" ht="13.5" customHeight="1">
      <c r="A29" s="83">
        <v>17</v>
      </c>
      <c r="B29" s="100" t="s">
        <v>127</v>
      </c>
      <c r="C29" s="28">
        <f>D29+E29+G29+I29+K29+M29+O29</f>
        <v>1170475</v>
      </c>
      <c r="D29" s="28"/>
      <c r="E29" s="28"/>
      <c r="F29" s="45">
        <v>835.45</v>
      </c>
      <c r="G29" s="28">
        <v>1170475</v>
      </c>
      <c r="H29" s="26"/>
      <c r="I29" s="28"/>
      <c r="J29" s="45"/>
      <c r="K29" s="28"/>
      <c r="L29" s="45"/>
      <c r="M29" s="28"/>
      <c r="N29" s="28"/>
      <c r="O29" s="28"/>
      <c r="P29" s="93"/>
    </row>
    <row r="30" spans="1:16" s="38" customFormat="1" ht="13.5" customHeight="1">
      <c r="A30" s="83">
        <v>18</v>
      </c>
      <c r="B30" s="29" t="s">
        <v>72</v>
      </c>
      <c r="C30" s="28">
        <f>D30+E30+G30+I30+K30+M30+O30+P30</f>
        <v>1799976</v>
      </c>
      <c r="D30" s="28">
        <v>924605</v>
      </c>
      <c r="E30" s="28"/>
      <c r="F30" s="45">
        <v>1216</v>
      </c>
      <c r="G30" s="28">
        <v>875371</v>
      </c>
      <c r="H30" s="26"/>
      <c r="I30" s="28"/>
      <c r="J30" s="45"/>
      <c r="K30" s="28"/>
      <c r="L30" s="45"/>
      <c r="M30" s="28"/>
      <c r="N30" s="28"/>
      <c r="O30" s="28"/>
      <c r="P30" s="93"/>
    </row>
    <row r="31" spans="1:16" s="38" customFormat="1" ht="13.5" customHeight="1">
      <c r="A31" s="83">
        <v>19</v>
      </c>
      <c r="B31" s="100" t="s">
        <v>119</v>
      </c>
      <c r="C31" s="28">
        <f>D31+E31+G31+I31+K31+M31+O31</f>
        <v>1327700</v>
      </c>
      <c r="D31" s="28"/>
      <c r="E31" s="28"/>
      <c r="F31" s="45">
        <v>858</v>
      </c>
      <c r="G31" s="28">
        <v>1327700</v>
      </c>
      <c r="H31" s="28"/>
      <c r="I31" s="28"/>
      <c r="J31" s="28"/>
      <c r="K31" s="28"/>
      <c r="L31" s="28"/>
      <c r="M31" s="28"/>
      <c r="N31" s="28"/>
      <c r="O31" s="28"/>
      <c r="P31" s="93"/>
    </row>
    <row r="32" spans="1:16" s="38" customFormat="1" ht="13.5" customHeight="1">
      <c r="A32" s="83">
        <v>20</v>
      </c>
      <c r="B32" s="98" t="s">
        <v>126</v>
      </c>
      <c r="C32" s="28">
        <f>D32+E32+G32+I32+K32+M32+O32+P32</f>
        <v>931444</v>
      </c>
      <c r="D32" s="28"/>
      <c r="E32" s="28"/>
      <c r="F32" s="45">
        <v>982</v>
      </c>
      <c r="G32" s="28">
        <v>931444</v>
      </c>
      <c r="H32" s="28"/>
      <c r="I32" s="28"/>
      <c r="J32" s="28"/>
      <c r="K32" s="28"/>
      <c r="L32" s="107"/>
      <c r="M32" s="28"/>
      <c r="N32" s="28"/>
      <c r="O32" s="28"/>
      <c r="P32" s="93"/>
    </row>
    <row r="33" spans="1:16" s="38" customFormat="1" ht="13.5" customHeight="1">
      <c r="A33" s="83">
        <v>21</v>
      </c>
      <c r="B33" s="100" t="s">
        <v>115</v>
      </c>
      <c r="C33" s="28">
        <f>D33+E33+G33+I33+K33+M33+O33</f>
        <v>2360024</v>
      </c>
      <c r="D33" s="28">
        <f>720514+857212+782298</f>
        <v>2360024</v>
      </c>
      <c r="E33" s="28"/>
      <c r="F33" s="45"/>
      <c r="G33" s="28"/>
      <c r="H33" s="26"/>
      <c r="I33" s="28"/>
      <c r="J33" s="45"/>
      <c r="K33" s="28"/>
      <c r="L33" s="45"/>
      <c r="M33" s="28"/>
      <c r="N33" s="28"/>
      <c r="O33" s="28"/>
      <c r="P33" s="93"/>
    </row>
    <row r="34" spans="1:16" s="38" customFormat="1" ht="13.5" customHeight="1">
      <c r="A34" s="83">
        <v>22</v>
      </c>
      <c r="B34" s="98" t="s">
        <v>120</v>
      </c>
      <c r="C34" s="28">
        <f aca="true" t="shared" si="1" ref="C34:C61">D34+E34+G34+I34+K34+M34+O34+P34</f>
        <v>1454458</v>
      </c>
      <c r="D34" s="28">
        <v>522568</v>
      </c>
      <c r="E34" s="28"/>
      <c r="F34" s="45">
        <v>1036</v>
      </c>
      <c r="G34" s="28">
        <v>931890</v>
      </c>
      <c r="H34" s="28"/>
      <c r="I34" s="28"/>
      <c r="J34" s="28"/>
      <c r="K34" s="28"/>
      <c r="L34" s="28"/>
      <c r="M34" s="28"/>
      <c r="N34" s="28"/>
      <c r="O34" s="28"/>
      <c r="P34" s="93"/>
    </row>
    <row r="35" spans="1:16" s="38" customFormat="1" ht="13.5" customHeight="1">
      <c r="A35" s="83">
        <v>23</v>
      </c>
      <c r="B35" s="98" t="s">
        <v>121</v>
      </c>
      <c r="C35" s="28">
        <f t="shared" si="1"/>
        <v>1084059</v>
      </c>
      <c r="D35" s="28">
        <f>561491+522568</f>
        <v>1084059</v>
      </c>
      <c r="E35" s="28"/>
      <c r="F35" s="45"/>
      <c r="G35" s="28"/>
      <c r="H35" s="28"/>
      <c r="I35" s="28"/>
      <c r="J35" s="28"/>
      <c r="K35" s="28"/>
      <c r="L35" s="107"/>
      <c r="M35" s="28"/>
      <c r="N35" s="28"/>
      <c r="O35" s="28"/>
      <c r="P35" s="93"/>
    </row>
    <row r="36" spans="1:16" s="38" customFormat="1" ht="13.5" customHeight="1" thickBot="1">
      <c r="A36" s="116">
        <v>24</v>
      </c>
      <c r="B36" s="117" t="s">
        <v>145</v>
      </c>
      <c r="C36" s="102">
        <f t="shared" si="1"/>
        <v>3168900</v>
      </c>
      <c r="D36" s="102"/>
      <c r="E36" s="102"/>
      <c r="F36" s="101">
        <v>598</v>
      </c>
      <c r="G36" s="102">
        <v>468900</v>
      </c>
      <c r="H36" s="109">
        <v>2</v>
      </c>
      <c r="I36" s="102">
        <v>2700000</v>
      </c>
      <c r="J36" s="101"/>
      <c r="K36" s="102"/>
      <c r="L36" s="101"/>
      <c r="M36" s="102"/>
      <c r="N36" s="102"/>
      <c r="O36" s="102"/>
      <c r="P36" s="110"/>
    </row>
    <row r="37" spans="1:16" s="38" customFormat="1" ht="13.5" customHeight="1">
      <c r="A37" s="161">
        <v>25</v>
      </c>
      <c r="B37" s="120" t="s">
        <v>74</v>
      </c>
      <c r="C37" s="122">
        <f t="shared" si="1"/>
        <v>1791145</v>
      </c>
      <c r="D37" s="122"/>
      <c r="E37" s="122"/>
      <c r="F37" s="121">
        <v>1205</v>
      </c>
      <c r="G37" s="122">
        <v>866215</v>
      </c>
      <c r="H37" s="163"/>
      <c r="I37" s="122"/>
      <c r="J37" s="121"/>
      <c r="K37" s="122"/>
      <c r="L37" s="121">
        <v>274</v>
      </c>
      <c r="M37" s="122">
        <v>924930</v>
      </c>
      <c r="N37" s="122"/>
      <c r="O37" s="122"/>
      <c r="P37" s="166"/>
    </row>
    <row r="38" spans="1:16" s="38" customFormat="1" ht="13.5" customHeight="1">
      <c r="A38" s="83">
        <v>26</v>
      </c>
      <c r="B38" s="98" t="s">
        <v>122</v>
      </c>
      <c r="C38" s="28">
        <f t="shared" si="1"/>
        <v>1493381</v>
      </c>
      <c r="D38" s="28">
        <v>561491</v>
      </c>
      <c r="E38" s="28"/>
      <c r="F38" s="45">
        <v>1036</v>
      </c>
      <c r="G38" s="28">
        <v>931890</v>
      </c>
      <c r="H38" s="28"/>
      <c r="I38" s="28"/>
      <c r="J38" s="28"/>
      <c r="K38" s="28"/>
      <c r="L38" s="28"/>
      <c r="M38" s="28"/>
      <c r="N38" s="28"/>
      <c r="O38" s="28"/>
      <c r="P38" s="93"/>
    </row>
    <row r="39" spans="1:16" s="38" customFormat="1" ht="13.5" customHeight="1">
      <c r="A39" s="83">
        <v>27</v>
      </c>
      <c r="B39" s="29" t="s">
        <v>70</v>
      </c>
      <c r="C39" s="28">
        <f t="shared" si="1"/>
        <v>4038969</v>
      </c>
      <c r="D39" s="28">
        <f>1693036+723716</f>
        <v>2416752</v>
      </c>
      <c r="E39" s="28"/>
      <c r="F39" s="45">
        <v>1620</v>
      </c>
      <c r="G39" s="28">
        <v>1622217</v>
      </c>
      <c r="H39" s="26"/>
      <c r="I39" s="28"/>
      <c r="J39" s="45"/>
      <c r="K39" s="28"/>
      <c r="L39" s="45"/>
      <c r="M39" s="28"/>
      <c r="N39" s="28"/>
      <c r="O39" s="28"/>
      <c r="P39" s="93"/>
    </row>
    <row r="40" spans="1:16" s="38" customFormat="1" ht="13.5" customHeight="1">
      <c r="A40" s="83">
        <v>28</v>
      </c>
      <c r="B40" s="29" t="s">
        <v>95</v>
      </c>
      <c r="C40" s="28">
        <f t="shared" si="1"/>
        <v>4763948</v>
      </c>
      <c r="D40" s="28">
        <f>1356386+1369561+527868</f>
        <v>3253815</v>
      </c>
      <c r="E40" s="28"/>
      <c r="F40" s="45">
        <v>1455</v>
      </c>
      <c r="G40" s="28">
        <v>1510133</v>
      </c>
      <c r="H40" s="26"/>
      <c r="I40" s="28"/>
      <c r="J40" s="45"/>
      <c r="K40" s="28"/>
      <c r="L40" s="45"/>
      <c r="M40" s="28"/>
      <c r="N40" s="28"/>
      <c r="O40" s="28"/>
      <c r="P40" s="93"/>
    </row>
    <row r="41" spans="1:16" s="38" customFormat="1" ht="13.5" customHeight="1">
      <c r="A41" s="83">
        <v>29</v>
      </c>
      <c r="B41" s="29" t="s">
        <v>71</v>
      </c>
      <c r="C41" s="28">
        <f t="shared" si="1"/>
        <v>1701080</v>
      </c>
      <c r="D41" s="28"/>
      <c r="E41" s="28"/>
      <c r="F41" s="45">
        <v>2275</v>
      </c>
      <c r="G41" s="28">
        <v>1701080</v>
      </c>
      <c r="H41" s="26"/>
      <c r="I41" s="28"/>
      <c r="J41" s="45"/>
      <c r="K41" s="28"/>
      <c r="L41" s="45"/>
      <c r="M41" s="28"/>
      <c r="N41" s="28"/>
      <c r="O41" s="28"/>
      <c r="P41" s="93"/>
    </row>
    <row r="42" spans="1:16" s="38" customFormat="1" ht="13.5" customHeight="1">
      <c r="A42" s="83">
        <v>30</v>
      </c>
      <c r="B42" s="29" t="s">
        <v>97</v>
      </c>
      <c r="C42" s="28">
        <f t="shared" si="1"/>
        <v>1437646</v>
      </c>
      <c r="D42" s="28"/>
      <c r="E42" s="28"/>
      <c r="F42" s="45">
        <v>1151</v>
      </c>
      <c r="G42" s="28">
        <v>1437646</v>
      </c>
      <c r="H42" s="26"/>
      <c r="I42" s="28"/>
      <c r="J42" s="45"/>
      <c r="K42" s="28"/>
      <c r="L42" s="45"/>
      <c r="M42" s="28"/>
      <c r="N42" s="28"/>
      <c r="O42" s="28"/>
      <c r="P42" s="93"/>
    </row>
    <row r="43" spans="1:16" s="38" customFormat="1" ht="13.5" customHeight="1">
      <c r="A43" s="83">
        <v>31</v>
      </c>
      <c r="B43" s="29" t="s">
        <v>93</v>
      </c>
      <c r="C43" s="28">
        <f t="shared" si="1"/>
        <v>1163929</v>
      </c>
      <c r="D43" s="28"/>
      <c r="E43" s="28"/>
      <c r="F43" s="45">
        <v>920</v>
      </c>
      <c r="G43" s="28">
        <v>1163929</v>
      </c>
      <c r="H43" s="26"/>
      <c r="I43" s="28"/>
      <c r="J43" s="45"/>
      <c r="K43" s="28"/>
      <c r="L43" s="45"/>
      <c r="M43" s="28"/>
      <c r="N43" s="28"/>
      <c r="O43" s="28"/>
      <c r="P43" s="93"/>
    </row>
    <row r="44" spans="1:16" s="38" customFormat="1" ht="13.5" customHeight="1">
      <c r="A44" s="83">
        <v>32</v>
      </c>
      <c r="B44" s="29" t="s">
        <v>91</v>
      </c>
      <c r="C44" s="28">
        <f t="shared" si="1"/>
        <v>1069799</v>
      </c>
      <c r="D44" s="28"/>
      <c r="E44" s="28"/>
      <c r="F44" s="45">
        <v>900</v>
      </c>
      <c r="G44" s="28">
        <v>1069799</v>
      </c>
      <c r="H44" s="26"/>
      <c r="I44" s="28"/>
      <c r="J44" s="45"/>
      <c r="K44" s="28"/>
      <c r="L44" s="45"/>
      <c r="M44" s="28"/>
      <c r="N44" s="28"/>
      <c r="O44" s="28"/>
      <c r="P44" s="93"/>
    </row>
    <row r="45" spans="1:16" s="38" customFormat="1" ht="13.5" customHeight="1">
      <c r="A45" s="83">
        <v>33</v>
      </c>
      <c r="B45" s="29" t="s">
        <v>69</v>
      </c>
      <c r="C45" s="28">
        <f t="shared" si="1"/>
        <v>1087244</v>
      </c>
      <c r="D45" s="28"/>
      <c r="E45" s="28"/>
      <c r="F45" s="45">
        <v>990</v>
      </c>
      <c r="G45" s="28">
        <v>1087244</v>
      </c>
      <c r="H45" s="26"/>
      <c r="I45" s="28"/>
      <c r="J45" s="45"/>
      <c r="K45" s="28"/>
      <c r="L45" s="45"/>
      <c r="M45" s="28"/>
      <c r="N45" s="28"/>
      <c r="O45" s="28"/>
      <c r="P45" s="93"/>
    </row>
    <row r="46" spans="1:16" s="38" customFormat="1" ht="13.5" customHeight="1">
      <c r="A46" s="83">
        <v>34</v>
      </c>
      <c r="B46" s="29" t="s">
        <v>89</v>
      </c>
      <c r="C46" s="28">
        <f t="shared" si="1"/>
        <v>1176387</v>
      </c>
      <c r="D46" s="28"/>
      <c r="E46" s="28"/>
      <c r="F46" s="45">
        <v>1000</v>
      </c>
      <c r="G46" s="28">
        <v>1176387</v>
      </c>
      <c r="H46" s="26"/>
      <c r="I46" s="28"/>
      <c r="J46" s="45"/>
      <c r="K46" s="28"/>
      <c r="L46" s="45"/>
      <c r="M46" s="28"/>
      <c r="N46" s="28"/>
      <c r="O46" s="28"/>
      <c r="P46" s="93"/>
    </row>
    <row r="47" spans="1:16" s="38" customFormat="1" ht="13.5" customHeight="1">
      <c r="A47" s="83">
        <v>35</v>
      </c>
      <c r="B47" s="29" t="s">
        <v>92</v>
      </c>
      <c r="C47" s="28">
        <f t="shared" si="1"/>
        <v>901148</v>
      </c>
      <c r="D47" s="28"/>
      <c r="E47" s="28"/>
      <c r="F47" s="45">
        <v>1240</v>
      </c>
      <c r="G47" s="28">
        <v>901148</v>
      </c>
      <c r="H47" s="26"/>
      <c r="I47" s="28"/>
      <c r="J47" s="45"/>
      <c r="K47" s="28"/>
      <c r="L47" s="45"/>
      <c r="M47" s="28"/>
      <c r="N47" s="28"/>
      <c r="O47" s="28"/>
      <c r="P47" s="93"/>
    </row>
    <row r="48" spans="1:16" s="38" customFormat="1" ht="13.5" customHeight="1">
      <c r="A48" s="83">
        <v>36</v>
      </c>
      <c r="B48" s="29" t="s">
        <v>67</v>
      </c>
      <c r="C48" s="28">
        <f t="shared" si="1"/>
        <v>1140404</v>
      </c>
      <c r="D48" s="28">
        <v>261759</v>
      </c>
      <c r="E48" s="28"/>
      <c r="F48" s="45">
        <v>1022</v>
      </c>
      <c r="G48" s="28">
        <v>878645</v>
      </c>
      <c r="H48" s="26"/>
      <c r="I48" s="28"/>
      <c r="J48" s="45"/>
      <c r="K48" s="28"/>
      <c r="L48" s="45"/>
      <c r="M48" s="28"/>
      <c r="N48" s="28"/>
      <c r="O48" s="28"/>
      <c r="P48" s="93"/>
    </row>
    <row r="49" spans="1:16" s="38" customFormat="1" ht="13.5" customHeight="1">
      <c r="A49" s="83">
        <v>37</v>
      </c>
      <c r="B49" s="29" t="s">
        <v>66</v>
      </c>
      <c r="C49" s="28">
        <f t="shared" si="1"/>
        <v>1989419</v>
      </c>
      <c r="D49" s="28">
        <f>554831+706067+263905+263747+200869</f>
        <v>1989419</v>
      </c>
      <c r="E49" s="28"/>
      <c r="F49" s="45"/>
      <c r="G49" s="28"/>
      <c r="H49" s="26"/>
      <c r="I49" s="28"/>
      <c r="J49" s="45"/>
      <c r="K49" s="28"/>
      <c r="L49" s="45"/>
      <c r="M49" s="28"/>
      <c r="N49" s="28"/>
      <c r="O49" s="28"/>
      <c r="P49" s="93"/>
    </row>
    <row r="50" spans="1:16" s="38" customFormat="1" ht="13.5" customHeight="1">
      <c r="A50" s="83">
        <v>38</v>
      </c>
      <c r="B50" s="98" t="s">
        <v>129</v>
      </c>
      <c r="C50" s="28">
        <f t="shared" si="1"/>
        <v>761204</v>
      </c>
      <c r="D50" s="28"/>
      <c r="E50" s="28"/>
      <c r="F50" s="45">
        <v>1242</v>
      </c>
      <c r="G50" s="28">
        <v>761204</v>
      </c>
      <c r="H50" s="26"/>
      <c r="I50" s="28"/>
      <c r="J50" s="45"/>
      <c r="K50" s="28"/>
      <c r="L50" s="45"/>
      <c r="M50" s="28"/>
      <c r="N50" s="28"/>
      <c r="O50" s="28"/>
      <c r="P50" s="93"/>
    </row>
    <row r="51" spans="1:16" s="38" customFormat="1" ht="13.5" customHeight="1">
      <c r="A51" s="83">
        <v>39</v>
      </c>
      <c r="B51" s="29" t="s">
        <v>94</v>
      </c>
      <c r="C51" s="28">
        <f t="shared" si="1"/>
        <v>902805</v>
      </c>
      <c r="D51" s="28"/>
      <c r="E51" s="28"/>
      <c r="F51" s="45">
        <v>1150</v>
      </c>
      <c r="G51" s="28">
        <v>902805</v>
      </c>
      <c r="H51" s="26"/>
      <c r="I51" s="28"/>
      <c r="J51" s="45"/>
      <c r="K51" s="28"/>
      <c r="L51" s="45"/>
      <c r="M51" s="28"/>
      <c r="N51" s="28"/>
      <c r="O51" s="28"/>
      <c r="P51" s="93"/>
    </row>
    <row r="52" spans="1:16" s="38" customFormat="1" ht="13.5" customHeight="1">
      <c r="A52" s="83">
        <v>40</v>
      </c>
      <c r="B52" s="98" t="s">
        <v>68</v>
      </c>
      <c r="C52" s="28">
        <f t="shared" si="1"/>
        <v>1779242</v>
      </c>
      <c r="D52" s="28"/>
      <c r="E52" s="28"/>
      <c r="F52" s="45">
        <v>1700</v>
      </c>
      <c r="G52" s="28">
        <v>1779242</v>
      </c>
      <c r="H52" s="28"/>
      <c r="I52" s="28"/>
      <c r="J52" s="28"/>
      <c r="K52" s="28"/>
      <c r="L52" s="28"/>
      <c r="M52" s="28"/>
      <c r="N52" s="28"/>
      <c r="O52" s="28"/>
      <c r="P52" s="93"/>
    </row>
    <row r="53" spans="1:16" s="38" customFormat="1" ht="13.5" customHeight="1">
      <c r="A53" s="83">
        <v>41</v>
      </c>
      <c r="B53" s="98" t="s">
        <v>112</v>
      </c>
      <c r="C53" s="28">
        <f t="shared" si="1"/>
        <v>904817</v>
      </c>
      <c r="D53" s="28"/>
      <c r="E53" s="28"/>
      <c r="F53" s="45">
        <v>1045</v>
      </c>
      <c r="G53" s="28">
        <v>904817</v>
      </c>
      <c r="H53" s="26"/>
      <c r="I53" s="28"/>
      <c r="J53" s="45"/>
      <c r="K53" s="28"/>
      <c r="L53" s="45"/>
      <c r="M53" s="28"/>
      <c r="N53" s="28"/>
      <c r="O53" s="28"/>
      <c r="P53" s="93"/>
    </row>
    <row r="54" spans="1:16" s="38" customFormat="1" ht="13.5" customHeight="1">
      <c r="A54" s="83">
        <v>42</v>
      </c>
      <c r="B54" s="98" t="s">
        <v>110</v>
      </c>
      <c r="C54" s="28">
        <f t="shared" si="1"/>
        <v>813986</v>
      </c>
      <c r="D54" s="28"/>
      <c r="E54" s="28"/>
      <c r="F54" s="45">
        <v>980</v>
      </c>
      <c r="G54" s="28">
        <v>813986</v>
      </c>
      <c r="H54" s="26"/>
      <c r="I54" s="28"/>
      <c r="J54" s="45"/>
      <c r="K54" s="28"/>
      <c r="L54" s="45"/>
      <c r="M54" s="28"/>
      <c r="N54" s="28"/>
      <c r="O54" s="28"/>
      <c r="P54" s="93"/>
    </row>
    <row r="55" spans="1:16" s="38" customFormat="1" ht="13.5" customHeight="1">
      <c r="A55" s="83">
        <v>43</v>
      </c>
      <c r="B55" s="98" t="s">
        <v>111</v>
      </c>
      <c r="C55" s="28">
        <f t="shared" si="1"/>
        <v>992588</v>
      </c>
      <c r="D55" s="28"/>
      <c r="E55" s="28"/>
      <c r="F55" s="45">
        <v>1250</v>
      </c>
      <c r="G55" s="28">
        <v>992588</v>
      </c>
      <c r="H55" s="26"/>
      <c r="I55" s="28"/>
      <c r="J55" s="45"/>
      <c r="K55" s="28"/>
      <c r="L55" s="45"/>
      <c r="M55" s="28"/>
      <c r="N55" s="28"/>
      <c r="O55" s="28"/>
      <c r="P55" s="93"/>
    </row>
    <row r="56" spans="1:16" s="38" customFormat="1" ht="13.5" customHeight="1">
      <c r="A56" s="83">
        <v>44</v>
      </c>
      <c r="B56" s="29" t="s">
        <v>75</v>
      </c>
      <c r="C56" s="28">
        <f t="shared" si="1"/>
        <v>1367598</v>
      </c>
      <c r="D56" s="28"/>
      <c r="E56" s="28"/>
      <c r="F56" s="45">
        <v>1158</v>
      </c>
      <c r="G56" s="28">
        <v>1367598</v>
      </c>
      <c r="H56" s="26"/>
      <c r="I56" s="28"/>
      <c r="J56" s="45"/>
      <c r="K56" s="28"/>
      <c r="L56" s="45"/>
      <c r="M56" s="28"/>
      <c r="N56" s="28"/>
      <c r="O56" s="28"/>
      <c r="P56" s="93"/>
    </row>
    <row r="57" spans="1:16" s="38" customFormat="1" ht="13.5" customHeight="1">
      <c r="A57" s="83">
        <v>45</v>
      </c>
      <c r="B57" s="29" t="s">
        <v>134</v>
      </c>
      <c r="C57" s="28">
        <f t="shared" si="1"/>
        <v>4450022</v>
      </c>
      <c r="D57" s="28">
        <f>307548+2437600+244066+142164</f>
        <v>3131378</v>
      </c>
      <c r="E57" s="28"/>
      <c r="F57" s="45">
        <v>785</v>
      </c>
      <c r="G57" s="28">
        <v>1318644</v>
      </c>
      <c r="H57" s="26"/>
      <c r="I57" s="28"/>
      <c r="J57" s="45"/>
      <c r="K57" s="28"/>
      <c r="L57" s="45"/>
      <c r="M57" s="28"/>
      <c r="N57" s="28"/>
      <c r="O57" s="28"/>
      <c r="P57" s="93"/>
    </row>
    <row r="58" spans="1:16" s="38" customFormat="1" ht="13.5" customHeight="1">
      <c r="A58" s="83">
        <v>46</v>
      </c>
      <c r="B58" s="29" t="s">
        <v>137</v>
      </c>
      <c r="C58" s="28">
        <f t="shared" si="1"/>
        <v>2709757</v>
      </c>
      <c r="D58" s="28">
        <f>787917+935793+345410</f>
        <v>2069120</v>
      </c>
      <c r="E58" s="28"/>
      <c r="F58" s="45">
        <v>830</v>
      </c>
      <c r="G58" s="28">
        <v>640637</v>
      </c>
      <c r="H58" s="26"/>
      <c r="I58" s="28"/>
      <c r="J58" s="45"/>
      <c r="K58" s="28"/>
      <c r="L58" s="45"/>
      <c r="M58" s="28"/>
      <c r="N58" s="28"/>
      <c r="O58" s="28"/>
      <c r="P58" s="93"/>
    </row>
    <row r="59" spans="1:16" s="38" customFormat="1" ht="13.5" customHeight="1">
      <c r="A59" s="83">
        <v>47</v>
      </c>
      <c r="B59" s="29" t="s">
        <v>98</v>
      </c>
      <c r="C59" s="28">
        <f t="shared" si="1"/>
        <v>2771859</v>
      </c>
      <c r="D59" s="28">
        <v>2771859</v>
      </c>
      <c r="E59" s="28"/>
      <c r="F59" s="45"/>
      <c r="G59" s="28"/>
      <c r="H59" s="26"/>
      <c r="I59" s="28"/>
      <c r="J59" s="45"/>
      <c r="K59" s="28"/>
      <c r="L59" s="45"/>
      <c r="M59" s="28"/>
      <c r="N59" s="28"/>
      <c r="O59" s="28"/>
      <c r="P59" s="93"/>
    </row>
    <row r="60" spans="1:16" s="38" customFormat="1" ht="13.5" customHeight="1">
      <c r="A60" s="83">
        <v>48</v>
      </c>
      <c r="B60" s="98" t="s">
        <v>106</v>
      </c>
      <c r="C60" s="28">
        <f t="shared" si="1"/>
        <v>2350200</v>
      </c>
      <c r="D60" s="28">
        <v>987600</v>
      </c>
      <c r="E60" s="28"/>
      <c r="F60" s="45">
        <v>962</v>
      </c>
      <c r="G60" s="28">
        <v>1362600</v>
      </c>
      <c r="H60" s="28"/>
      <c r="I60" s="28"/>
      <c r="J60" s="28"/>
      <c r="K60" s="28"/>
      <c r="L60" s="28"/>
      <c r="M60" s="28"/>
      <c r="N60" s="28"/>
      <c r="O60" s="28"/>
      <c r="P60" s="93"/>
    </row>
    <row r="61" spans="1:16" s="38" customFormat="1" ht="12.75" customHeight="1">
      <c r="A61" s="83">
        <v>49</v>
      </c>
      <c r="B61" s="98" t="s">
        <v>109</v>
      </c>
      <c r="C61" s="28">
        <f t="shared" si="1"/>
        <v>909234</v>
      </c>
      <c r="D61" s="28"/>
      <c r="E61" s="28"/>
      <c r="F61" s="45">
        <v>1176</v>
      </c>
      <c r="G61" s="28">
        <v>909234</v>
      </c>
      <c r="H61" s="26"/>
      <c r="I61" s="28"/>
      <c r="J61" s="45"/>
      <c r="K61" s="28"/>
      <c r="L61" s="45"/>
      <c r="M61" s="28"/>
      <c r="N61" s="28"/>
      <c r="O61" s="28"/>
      <c r="P61" s="93"/>
    </row>
    <row r="62" spans="1:16" s="38" customFormat="1" ht="12.75" customHeight="1">
      <c r="A62" s="83">
        <v>50</v>
      </c>
      <c r="B62" s="98" t="s">
        <v>130</v>
      </c>
      <c r="C62" s="28">
        <f>D62+E62+G62+I62+K62+M62+O62</f>
        <v>2346014</v>
      </c>
      <c r="D62" s="28">
        <f>565498+348860+1431656</f>
        <v>2346014</v>
      </c>
      <c r="E62" s="28"/>
      <c r="F62" s="45"/>
      <c r="G62" s="28"/>
      <c r="H62" s="28"/>
      <c r="I62" s="28"/>
      <c r="J62" s="28"/>
      <c r="K62" s="28"/>
      <c r="L62" s="28"/>
      <c r="M62" s="28"/>
      <c r="N62" s="28"/>
      <c r="O62" s="28"/>
      <c r="P62" s="93"/>
    </row>
    <row r="63" spans="1:16" s="38" customFormat="1" ht="12.75" customHeight="1">
      <c r="A63" s="83">
        <v>51</v>
      </c>
      <c r="B63" s="98" t="s">
        <v>107</v>
      </c>
      <c r="C63" s="28">
        <f aca="true" t="shared" si="2" ref="C63:C72">D63+E63+G63+I63+K63+M63+O63+P63</f>
        <v>906152</v>
      </c>
      <c r="D63" s="28"/>
      <c r="E63" s="28"/>
      <c r="F63" s="45">
        <v>1193</v>
      </c>
      <c r="G63" s="28">
        <v>906152</v>
      </c>
      <c r="H63" s="26"/>
      <c r="I63" s="28"/>
      <c r="J63" s="45"/>
      <c r="K63" s="28"/>
      <c r="L63" s="45"/>
      <c r="M63" s="28"/>
      <c r="N63" s="28"/>
      <c r="O63" s="28"/>
      <c r="P63" s="93"/>
    </row>
    <row r="64" spans="1:16" s="38" customFormat="1" ht="12.75" customHeight="1">
      <c r="A64" s="83">
        <v>52</v>
      </c>
      <c r="B64" s="29" t="s">
        <v>84</v>
      </c>
      <c r="C64" s="28">
        <f t="shared" si="2"/>
        <v>1185621</v>
      </c>
      <c r="D64" s="28"/>
      <c r="E64" s="28"/>
      <c r="F64" s="45">
        <v>1060</v>
      </c>
      <c r="G64" s="28">
        <v>1185621</v>
      </c>
      <c r="H64" s="26"/>
      <c r="I64" s="28"/>
      <c r="J64" s="45"/>
      <c r="K64" s="28"/>
      <c r="L64" s="45"/>
      <c r="M64" s="28"/>
      <c r="N64" s="28"/>
      <c r="O64" s="28"/>
      <c r="P64" s="93"/>
    </row>
    <row r="65" spans="1:16" s="38" customFormat="1" ht="12.75" customHeight="1">
      <c r="A65" s="83">
        <v>53</v>
      </c>
      <c r="B65" s="29" t="s">
        <v>85</v>
      </c>
      <c r="C65" s="28">
        <f t="shared" si="2"/>
        <v>982171</v>
      </c>
      <c r="D65" s="28"/>
      <c r="E65" s="28"/>
      <c r="F65" s="45">
        <v>828</v>
      </c>
      <c r="G65" s="28">
        <v>982171</v>
      </c>
      <c r="H65" s="26"/>
      <c r="I65" s="28"/>
      <c r="J65" s="45"/>
      <c r="K65" s="28"/>
      <c r="L65" s="45"/>
      <c r="M65" s="28"/>
      <c r="N65" s="28"/>
      <c r="O65" s="28"/>
      <c r="P65" s="93"/>
    </row>
    <row r="66" spans="1:16" s="38" customFormat="1" ht="12.75" customHeight="1">
      <c r="A66" s="83">
        <v>54</v>
      </c>
      <c r="B66" s="29" t="s">
        <v>88</v>
      </c>
      <c r="C66" s="28">
        <f t="shared" si="2"/>
        <v>1109925</v>
      </c>
      <c r="D66" s="28"/>
      <c r="E66" s="28"/>
      <c r="F66" s="45">
        <v>843</v>
      </c>
      <c r="G66" s="28">
        <v>1109925</v>
      </c>
      <c r="H66" s="26"/>
      <c r="I66" s="28"/>
      <c r="J66" s="45"/>
      <c r="K66" s="28"/>
      <c r="L66" s="45"/>
      <c r="M66" s="28"/>
      <c r="N66" s="28"/>
      <c r="O66" s="28"/>
      <c r="P66" s="93"/>
    </row>
    <row r="67" spans="1:16" s="38" customFormat="1" ht="12.75" customHeight="1">
      <c r="A67" s="83">
        <v>55</v>
      </c>
      <c r="B67" s="29" t="s">
        <v>96</v>
      </c>
      <c r="C67" s="28">
        <f t="shared" si="2"/>
        <v>1092471</v>
      </c>
      <c r="D67" s="28">
        <f>257703+106241+106010</f>
        <v>469954</v>
      </c>
      <c r="E67" s="28"/>
      <c r="F67" s="45">
        <v>563</v>
      </c>
      <c r="G67" s="28">
        <v>622517</v>
      </c>
      <c r="H67" s="26"/>
      <c r="I67" s="28"/>
      <c r="J67" s="45"/>
      <c r="K67" s="28"/>
      <c r="L67" s="45"/>
      <c r="M67" s="28"/>
      <c r="N67" s="28"/>
      <c r="O67" s="28"/>
      <c r="P67" s="93"/>
    </row>
    <row r="68" spans="1:16" s="38" customFormat="1" ht="12.75" customHeight="1">
      <c r="A68" s="83">
        <v>56</v>
      </c>
      <c r="B68" s="29" t="s">
        <v>105</v>
      </c>
      <c r="C68" s="28">
        <f t="shared" si="2"/>
        <v>1538829</v>
      </c>
      <c r="D68" s="28">
        <v>398963</v>
      </c>
      <c r="E68" s="28"/>
      <c r="F68" s="45">
        <v>856</v>
      </c>
      <c r="G68" s="28">
        <v>1139866</v>
      </c>
      <c r="H68" s="26"/>
      <c r="I68" s="28"/>
      <c r="J68" s="45"/>
      <c r="K68" s="28"/>
      <c r="L68" s="45"/>
      <c r="M68" s="28"/>
      <c r="N68" s="28"/>
      <c r="O68" s="28"/>
      <c r="P68" s="93"/>
    </row>
    <row r="69" spans="1:16" s="38" customFormat="1" ht="12.75" customHeight="1">
      <c r="A69" s="83">
        <v>57</v>
      </c>
      <c r="B69" s="98" t="s">
        <v>81</v>
      </c>
      <c r="C69" s="28">
        <f t="shared" si="2"/>
        <v>1811164</v>
      </c>
      <c r="D69" s="28">
        <f>1811164</f>
        <v>1811164</v>
      </c>
      <c r="E69" s="28"/>
      <c r="F69" s="45"/>
      <c r="G69" s="28"/>
      <c r="H69" s="28"/>
      <c r="I69" s="28"/>
      <c r="J69" s="28"/>
      <c r="K69" s="28"/>
      <c r="L69" s="28"/>
      <c r="M69" s="28"/>
      <c r="N69" s="28"/>
      <c r="O69" s="28"/>
      <c r="P69" s="93"/>
    </row>
    <row r="70" spans="1:16" s="38" customFormat="1" ht="12.75" customHeight="1">
      <c r="A70" s="83">
        <v>58</v>
      </c>
      <c r="B70" s="29" t="s">
        <v>86</v>
      </c>
      <c r="C70" s="28">
        <f t="shared" si="2"/>
        <v>652729</v>
      </c>
      <c r="D70" s="28"/>
      <c r="E70" s="28"/>
      <c r="F70" s="45">
        <v>850</v>
      </c>
      <c r="G70" s="28">
        <v>652729</v>
      </c>
      <c r="H70" s="26"/>
      <c r="I70" s="28"/>
      <c r="J70" s="45"/>
      <c r="K70" s="28"/>
      <c r="L70" s="45"/>
      <c r="M70" s="28"/>
      <c r="N70" s="28"/>
      <c r="O70" s="28"/>
      <c r="P70" s="93"/>
    </row>
    <row r="71" spans="1:16" s="38" customFormat="1" ht="12.75" customHeight="1">
      <c r="A71" s="83">
        <v>59</v>
      </c>
      <c r="B71" s="29" t="s">
        <v>76</v>
      </c>
      <c r="C71" s="28">
        <f t="shared" si="2"/>
        <v>1344426</v>
      </c>
      <c r="D71" s="28"/>
      <c r="E71" s="28"/>
      <c r="F71" s="45">
        <v>1045</v>
      </c>
      <c r="G71" s="28">
        <v>1344426</v>
      </c>
      <c r="H71" s="26"/>
      <c r="I71" s="28"/>
      <c r="J71" s="45"/>
      <c r="K71" s="28"/>
      <c r="L71" s="45"/>
      <c r="M71" s="28"/>
      <c r="N71" s="28"/>
      <c r="O71" s="28"/>
      <c r="P71" s="93"/>
    </row>
    <row r="72" spans="1:16" s="38" customFormat="1" ht="12.75" customHeight="1">
      <c r="A72" s="83">
        <v>60</v>
      </c>
      <c r="B72" s="29" t="s">
        <v>87</v>
      </c>
      <c r="C72" s="28">
        <f t="shared" si="2"/>
        <v>1296998</v>
      </c>
      <c r="D72" s="28"/>
      <c r="E72" s="28"/>
      <c r="F72" s="45">
        <v>1134</v>
      </c>
      <c r="G72" s="28">
        <v>1296998</v>
      </c>
      <c r="H72" s="26"/>
      <c r="I72" s="28"/>
      <c r="J72" s="45"/>
      <c r="K72" s="28"/>
      <c r="L72" s="45"/>
      <c r="M72" s="28"/>
      <c r="N72" s="28"/>
      <c r="O72" s="28"/>
      <c r="P72" s="93"/>
    </row>
    <row r="73" spans="1:16" s="38" customFormat="1" ht="12.75" customHeight="1">
      <c r="A73" s="83">
        <v>61</v>
      </c>
      <c r="B73" s="100" t="s">
        <v>124</v>
      </c>
      <c r="C73" s="28">
        <f>D73+E73+G73+I73+K73+M73+O73</f>
        <v>4481940</v>
      </c>
      <c r="D73" s="28"/>
      <c r="E73" s="28"/>
      <c r="F73" s="45">
        <v>1664</v>
      </c>
      <c r="G73" s="28">
        <v>2094412</v>
      </c>
      <c r="H73" s="28"/>
      <c r="I73" s="28"/>
      <c r="J73" s="28"/>
      <c r="K73" s="28"/>
      <c r="L73" s="45">
        <v>744.35</v>
      </c>
      <c r="M73" s="28">
        <v>2387528</v>
      </c>
      <c r="N73" s="28"/>
      <c r="O73" s="28"/>
      <c r="P73" s="93"/>
    </row>
    <row r="74" spans="1:16" s="38" customFormat="1" ht="12.75" customHeight="1">
      <c r="A74" s="83">
        <v>62</v>
      </c>
      <c r="B74" s="29" t="s">
        <v>104</v>
      </c>
      <c r="C74" s="28">
        <f>D74+E74+G74+I74+K74+M74+O74+P74</f>
        <v>1524655</v>
      </c>
      <c r="D74" s="28"/>
      <c r="E74" s="28"/>
      <c r="F74" s="45">
        <v>1499.6</v>
      </c>
      <c r="G74" s="28">
        <v>1524655</v>
      </c>
      <c r="H74" s="26"/>
      <c r="I74" s="28"/>
      <c r="J74" s="45"/>
      <c r="K74" s="28"/>
      <c r="L74" s="45"/>
      <c r="M74" s="28"/>
      <c r="N74" s="28"/>
      <c r="O74" s="28"/>
      <c r="P74" s="93"/>
    </row>
    <row r="75" spans="1:16" s="38" customFormat="1" ht="12.75" customHeight="1">
      <c r="A75" s="83">
        <v>63</v>
      </c>
      <c r="B75" s="29" t="s">
        <v>102</v>
      </c>
      <c r="C75" s="28">
        <f>D75+E75+G75+I75+K75+M75+O75+P75</f>
        <v>1125698</v>
      </c>
      <c r="D75" s="28"/>
      <c r="E75" s="28"/>
      <c r="F75" s="45">
        <v>1496</v>
      </c>
      <c r="G75" s="28">
        <v>1125698</v>
      </c>
      <c r="H75" s="26"/>
      <c r="I75" s="28"/>
      <c r="J75" s="45"/>
      <c r="K75" s="28"/>
      <c r="L75" s="45"/>
      <c r="M75" s="28"/>
      <c r="N75" s="28"/>
      <c r="O75" s="28"/>
      <c r="P75" s="93"/>
    </row>
    <row r="76" spans="1:16" s="38" customFormat="1" ht="12.75" customHeight="1">
      <c r="A76" s="83">
        <v>64</v>
      </c>
      <c r="B76" s="29" t="s">
        <v>101</v>
      </c>
      <c r="C76" s="28">
        <f>D76+E76+G76+I76+K76+M76+O76+P76</f>
        <v>719597</v>
      </c>
      <c r="D76" s="28"/>
      <c r="E76" s="28"/>
      <c r="F76" s="45">
        <v>960</v>
      </c>
      <c r="G76" s="28">
        <v>719597</v>
      </c>
      <c r="H76" s="26"/>
      <c r="I76" s="28"/>
      <c r="J76" s="45"/>
      <c r="K76" s="28"/>
      <c r="L76" s="45"/>
      <c r="M76" s="28"/>
      <c r="N76" s="28"/>
      <c r="O76" s="28"/>
      <c r="P76" s="93"/>
    </row>
    <row r="77" spans="1:16" s="38" customFormat="1" ht="12.75" customHeight="1">
      <c r="A77" s="83">
        <v>65</v>
      </c>
      <c r="B77" s="100" t="s">
        <v>123</v>
      </c>
      <c r="C77" s="28">
        <f>D77+E77+G77+I77+K77+M77+O77</f>
        <v>817542</v>
      </c>
      <c r="D77" s="28"/>
      <c r="E77" s="28"/>
      <c r="F77" s="45">
        <v>625</v>
      </c>
      <c r="G77" s="28">
        <v>817542</v>
      </c>
      <c r="H77" s="26"/>
      <c r="I77" s="28"/>
      <c r="J77" s="45"/>
      <c r="K77" s="28"/>
      <c r="L77" s="45"/>
      <c r="M77" s="28"/>
      <c r="N77" s="28"/>
      <c r="O77" s="28"/>
      <c r="P77" s="93"/>
    </row>
    <row r="78" spans="1:16" s="38" customFormat="1" ht="12.75" customHeight="1" thickBot="1">
      <c r="A78" s="83">
        <v>66</v>
      </c>
      <c r="B78" s="108" t="s">
        <v>131</v>
      </c>
      <c r="C78" s="102">
        <f>D78+E78+G78+I78+K78+M78+O78+P78</f>
        <v>1250000</v>
      </c>
      <c r="D78" s="102"/>
      <c r="E78" s="102"/>
      <c r="F78" s="101"/>
      <c r="G78" s="102"/>
      <c r="H78" s="109">
        <v>1</v>
      </c>
      <c r="I78" s="102">
        <v>1250000</v>
      </c>
      <c r="J78" s="101"/>
      <c r="K78" s="102"/>
      <c r="L78" s="101"/>
      <c r="M78" s="102"/>
      <c r="N78" s="102"/>
      <c r="O78" s="102"/>
      <c r="P78" s="110"/>
    </row>
    <row r="79" spans="1:16" s="38" customFormat="1" ht="12.75" customHeight="1" thickBot="1">
      <c r="A79" s="214" t="s">
        <v>51</v>
      </c>
      <c r="B79" s="215"/>
      <c r="C79" s="49">
        <f>SUM(C13:C78)</f>
        <v>104049251</v>
      </c>
      <c r="D79" s="49">
        <f aca="true" t="shared" si="3" ref="D79:P79">SUM(D13:D78)</f>
        <v>29243883</v>
      </c>
      <c r="E79" s="49">
        <f t="shared" si="3"/>
        <v>0</v>
      </c>
      <c r="F79" s="162">
        <f t="shared" si="3"/>
        <v>62765.049999999996</v>
      </c>
      <c r="G79" s="49">
        <f t="shared" si="3"/>
        <v>63974496</v>
      </c>
      <c r="H79" s="49">
        <f t="shared" si="3"/>
        <v>4</v>
      </c>
      <c r="I79" s="49">
        <f t="shared" si="3"/>
        <v>5300000</v>
      </c>
      <c r="J79" s="49">
        <f t="shared" si="3"/>
        <v>0</v>
      </c>
      <c r="K79" s="49">
        <f t="shared" si="3"/>
        <v>0</v>
      </c>
      <c r="L79" s="162">
        <f t="shared" si="3"/>
        <v>1654.5500000000002</v>
      </c>
      <c r="M79" s="49">
        <f t="shared" si="3"/>
        <v>5530872</v>
      </c>
      <c r="N79" s="49">
        <f t="shared" si="3"/>
        <v>0</v>
      </c>
      <c r="O79" s="49">
        <f t="shared" si="3"/>
        <v>0</v>
      </c>
      <c r="P79" s="86">
        <f t="shared" si="3"/>
        <v>0</v>
      </c>
    </row>
  </sheetData>
  <sheetProtection/>
  <mergeCells count="15">
    <mergeCell ref="A3:P5"/>
    <mergeCell ref="N2:P2"/>
    <mergeCell ref="J6:K9"/>
    <mergeCell ref="L6:M9"/>
    <mergeCell ref="E6:E9"/>
    <mergeCell ref="N6:O9"/>
    <mergeCell ref="P6:P9"/>
    <mergeCell ref="H6:I9"/>
    <mergeCell ref="A79:B79"/>
    <mergeCell ref="A6:A10"/>
    <mergeCell ref="B6:B10"/>
    <mergeCell ref="C6:C9"/>
    <mergeCell ref="D6:D9"/>
    <mergeCell ref="F6:G9"/>
    <mergeCell ref="A12:P12"/>
  </mergeCells>
  <printOptions/>
  <pageMargins left="0.3937007874015748" right="0" top="1.1811023622047245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8"/>
  <sheetViews>
    <sheetView zoomScalePageLayoutView="0" workbookViewId="0" topLeftCell="A64">
      <selection activeCell="F16" sqref="F16"/>
    </sheetView>
  </sheetViews>
  <sheetFormatPr defaultColWidth="9.00390625" defaultRowHeight="12.75"/>
  <cols>
    <col min="1" max="1" width="4.625" style="5" customWidth="1"/>
    <col min="2" max="2" width="42.25390625" style="5" customWidth="1"/>
    <col min="3" max="11" width="10.75390625" style="5" customWidth="1"/>
    <col min="12" max="12" width="12.375" style="5" customWidth="1"/>
    <col min="13" max="16384" width="9.125" style="5" customWidth="1"/>
  </cols>
  <sheetData>
    <row r="2" spans="10:12" ht="12">
      <c r="J2" s="244" t="s">
        <v>161</v>
      </c>
      <c r="K2" s="244"/>
      <c r="L2" s="244"/>
    </row>
    <row r="4" spans="1:12" ht="12.75">
      <c r="A4" s="243" t="s">
        <v>65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ht="12.75" thickBot="1"/>
    <row r="6" spans="1:12" ht="12.75" customHeight="1">
      <c r="A6" s="245" t="s">
        <v>0</v>
      </c>
      <c r="B6" s="197" t="s">
        <v>63</v>
      </c>
      <c r="C6" s="248" t="s">
        <v>64</v>
      </c>
      <c r="D6" s="197" t="s">
        <v>56</v>
      </c>
      <c r="E6" s="197"/>
      <c r="F6" s="197" t="s">
        <v>57</v>
      </c>
      <c r="G6" s="197"/>
      <c r="H6" s="197" t="s">
        <v>58</v>
      </c>
      <c r="I6" s="197"/>
      <c r="J6" s="197" t="s">
        <v>59</v>
      </c>
      <c r="K6" s="197"/>
      <c r="L6" s="235" t="s">
        <v>60</v>
      </c>
    </row>
    <row r="7" spans="1:12" ht="12.75" customHeight="1">
      <c r="A7" s="246"/>
      <c r="B7" s="187"/>
      <c r="C7" s="189"/>
      <c r="D7" s="187"/>
      <c r="E7" s="187"/>
      <c r="F7" s="187"/>
      <c r="G7" s="187"/>
      <c r="H7" s="187"/>
      <c r="I7" s="187"/>
      <c r="J7" s="187"/>
      <c r="K7" s="187"/>
      <c r="L7" s="236"/>
    </row>
    <row r="8" spans="1:12" ht="75" customHeight="1">
      <c r="A8" s="246"/>
      <c r="B8" s="187"/>
      <c r="C8" s="189"/>
      <c r="D8" s="187" t="s">
        <v>61</v>
      </c>
      <c r="E8" s="187" t="s">
        <v>62</v>
      </c>
      <c r="F8" s="187" t="s">
        <v>61</v>
      </c>
      <c r="G8" s="187" t="s">
        <v>62</v>
      </c>
      <c r="H8" s="187" t="s">
        <v>61</v>
      </c>
      <c r="I8" s="187" t="s">
        <v>62</v>
      </c>
      <c r="J8" s="187" t="s">
        <v>61</v>
      </c>
      <c r="K8" s="187" t="s">
        <v>62</v>
      </c>
      <c r="L8" s="236"/>
    </row>
    <row r="9" spans="1:12" ht="19.5" customHeight="1" thickBot="1">
      <c r="A9" s="247"/>
      <c r="B9" s="237"/>
      <c r="C9" s="66" t="s">
        <v>37</v>
      </c>
      <c r="D9" s="237"/>
      <c r="E9" s="237"/>
      <c r="F9" s="237"/>
      <c r="G9" s="237"/>
      <c r="H9" s="237"/>
      <c r="I9" s="237"/>
      <c r="J9" s="237"/>
      <c r="K9" s="237"/>
      <c r="L9" s="81" t="s">
        <v>80</v>
      </c>
    </row>
    <row r="10" spans="1:12" s="1" customFormat="1" ht="12.75" thickBot="1">
      <c r="A10" s="78">
        <v>1</v>
      </c>
      <c r="B10" s="79">
        <v>2</v>
      </c>
      <c r="C10" s="79">
        <v>3</v>
      </c>
      <c r="D10" s="79">
        <v>4</v>
      </c>
      <c r="E10" s="79">
        <v>5</v>
      </c>
      <c r="F10" s="79">
        <v>6</v>
      </c>
      <c r="G10" s="79">
        <v>7</v>
      </c>
      <c r="H10" s="79">
        <v>8</v>
      </c>
      <c r="I10" s="79">
        <v>9</v>
      </c>
      <c r="J10" s="79">
        <v>10</v>
      </c>
      <c r="K10" s="79">
        <v>11</v>
      </c>
      <c r="L10" s="80">
        <v>12</v>
      </c>
    </row>
    <row r="11" spans="1:12" ht="15.75" customHeight="1" thickBot="1">
      <c r="A11" s="238" t="s">
        <v>18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40"/>
    </row>
    <row r="12" spans="1:12" ht="12.75">
      <c r="A12" s="95">
        <v>1</v>
      </c>
      <c r="B12" s="76" t="s">
        <v>90</v>
      </c>
      <c r="C12" s="59">
        <v>6403.42</v>
      </c>
      <c r="D12" s="48" t="s">
        <v>77</v>
      </c>
      <c r="E12" s="48" t="s">
        <v>139</v>
      </c>
      <c r="F12" s="48" t="s">
        <v>77</v>
      </c>
      <c r="G12" s="48" t="s">
        <v>139</v>
      </c>
      <c r="H12" s="48" t="s">
        <v>77</v>
      </c>
      <c r="I12" s="48" t="s">
        <v>139</v>
      </c>
      <c r="J12" s="48" t="s">
        <v>77</v>
      </c>
      <c r="K12" s="48" t="s">
        <v>139</v>
      </c>
      <c r="L12" s="104">
        <f>890.81/1.16/0.00086/6403.42</f>
        <v>139.4494016337806</v>
      </c>
    </row>
    <row r="13" spans="1:12" ht="12.75">
      <c r="A13" s="96">
        <v>2</v>
      </c>
      <c r="B13" s="115" t="s">
        <v>114</v>
      </c>
      <c r="C13" s="59">
        <f>11337.41+526.5+792.6+554+64+16.9+1627.9</f>
        <v>14919.31</v>
      </c>
      <c r="D13" s="48" t="s">
        <v>77</v>
      </c>
      <c r="E13" s="48" t="s">
        <v>139</v>
      </c>
      <c r="F13" s="48" t="s">
        <v>77</v>
      </c>
      <c r="G13" s="48" t="s">
        <v>139</v>
      </c>
      <c r="H13" s="48" t="s">
        <v>77</v>
      </c>
      <c r="I13" s="48" t="s">
        <v>139</v>
      </c>
      <c r="J13" s="48" t="s">
        <v>77</v>
      </c>
      <c r="K13" s="48" t="s">
        <v>139</v>
      </c>
      <c r="L13" s="103">
        <f>1898/1.16/0.00086/14919.31</f>
        <v>127.5237366058534</v>
      </c>
    </row>
    <row r="14" spans="1:12" ht="12.75">
      <c r="A14" s="96">
        <v>3</v>
      </c>
      <c r="B14" s="98" t="s">
        <v>118</v>
      </c>
      <c r="C14" s="45">
        <f>2254.1+107.5+141.5+375.2</f>
        <v>2878.2999999999997</v>
      </c>
      <c r="D14" s="28" t="s">
        <v>77</v>
      </c>
      <c r="E14" s="28" t="s">
        <v>139</v>
      </c>
      <c r="F14" s="28" t="s">
        <v>77</v>
      </c>
      <c r="G14" s="28" t="s">
        <v>139</v>
      </c>
      <c r="H14" s="28" t="s">
        <v>77</v>
      </c>
      <c r="I14" s="28" t="s">
        <v>139</v>
      </c>
      <c r="J14" s="28" t="s">
        <v>77</v>
      </c>
      <c r="K14" s="28" t="s">
        <v>139</v>
      </c>
      <c r="L14" s="104">
        <f>392.95/0.00086/2878.3</f>
        <v>158.7459975162988</v>
      </c>
    </row>
    <row r="15" spans="1:12" ht="25.5">
      <c r="A15" s="96">
        <v>4</v>
      </c>
      <c r="B15" s="29" t="s">
        <v>136</v>
      </c>
      <c r="C15" s="45">
        <v>4695.33</v>
      </c>
      <c r="D15" s="28" t="s">
        <v>77</v>
      </c>
      <c r="E15" s="28" t="s">
        <v>62</v>
      </c>
      <c r="F15" s="28" t="s">
        <v>77</v>
      </c>
      <c r="G15" s="28" t="s">
        <v>139</v>
      </c>
      <c r="H15" s="99" t="s">
        <v>78</v>
      </c>
      <c r="I15" s="28"/>
      <c r="J15" s="28" t="s">
        <v>77</v>
      </c>
      <c r="K15" s="28"/>
      <c r="L15" s="104">
        <f>519.48/1.16/0.00086/4695.33</f>
        <v>110.90375999202787</v>
      </c>
    </row>
    <row r="16" spans="1:12" ht="25.5">
      <c r="A16" s="96">
        <v>5</v>
      </c>
      <c r="B16" s="29" t="s">
        <v>135</v>
      </c>
      <c r="C16" s="45">
        <v>9932.43</v>
      </c>
      <c r="D16" s="28" t="s">
        <v>77</v>
      </c>
      <c r="E16" s="28" t="s">
        <v>62</v>
      </c>
      <c r="F16" s="28" t="s">
        <v>77</v>
      </c>
      <c r="G16" s="28" t="s">
        <v>139</v>
      </c>
      <c r="H16" s="99" t="s">
        <v>78</v>
      </c>
      <c r="I16" s="28"/>
      <c r="J16" s="28" t="s">
        <v>77</v>
      </c>
      <c r="K16" s="28"/>
      <c r="L16" s="104">
        <f>1731.62/1.16/0.00086/9932.43</f>
        <v>174.75943813615643</v>
      </c>
    </row>
    <row r="17" spans="1:12" ht="25.5">
      <c r="A17" s="96">
        <v>6</v>
      </c>
      <c r="B17" s="29" t="s">
        <v>138</v>
      </c>
      <c r="C17" s="45">
        <v>5620.4</v>
      </c>
      <c r="D17" s="28" t="s">
        <v>77</v>
      </c>
      <c r="E17" s="28" t="s">
        <v>62</v>
      </c>
      <c r="F17" s="28" t="s">
        <v>77</v>
      </c>
      <c r="G17" s="28" t="s">
        <v>139</v>
      </c>
      <c r="H17" s="99" t="s">
        <v>78</v>
      </c>
      <c r="I17" s="28"/>
      <c r="J17" s="28" t="s">
        <v>77</v>
      </c>
      <c r="K17" s="28"/>
      <c r="L17" s="104">
        <f>519.49/1.16/0.00086/5620.4</f>
        <v>92.65172860670178</v>
      </c>
    </row>
    <row r="18" spans="1:12" ht="12.75">
      <c r="A18" s="96">
        <v>7</v>
      </c>
      <c r="B18" s="29" t="s">
        <v>99</v>
      </c>
      <c r="C18" s="45">
        <f>3548.75+267.5+675.4</f>
        <v>4491.65</v>
      </c>
      <c r="D18" s="28" t="s">
        <v>77</v>
      </c>
      <c r="E18" s="28" t="s">
        <v>139</v>
      </c>
      <c r="F18" s="28" t="s">
        <v>77</v>
      </c>
      <c r="G18" s="28" t="s">
        <v>139</v>
      </c>
      <c r="H18" s="28" t="s">
        <v>77</v>
      </c>
      <c r="I18" s="28" t="s">
        <v>139</v>
      </c>
      <c r="J18" s="28" t="s">
        <v>77</v>
      </c>
      <c r="K18" s="28" t="s">
        <v>139</v>
      </c>
      <c r="L18" s="104">
        <f>425.08/1.16/0.00086/4491.65</f>
        <v>94.86550518211415</v>
      </c>
    </row>
    <row r="19" spans="1:12" ht="12.75">
      <c r="A19" s="96">
        <v>8</v>
      </c>
      <c r="B19" s="29" t="s">
        <v>117</v>
      </c>
      <c r="C19" s="45">
        <f>3986.7+261.1+406.5+172.5+950</f>
        <v>5776.8</v>
      </c>
      <c r="D19" s="28" t="s">
        <v>77</v>
      </c>
      <c r="E19" s="28" t="s">
        <v>139</v>
      </c>
      <c r="F19" s="28" t="s">
        <v>77</v>
      </c>
      <c r="G19" s="28" t="s">
        <v>139</v>
      </c>
      <c r="H19" s="28" t="s">
        <v>77</v>
      </c>
      <c r="I19" s="28" t="s">
        <v>139</v>
      </c>
      <c r="J19" s="28" t="s">
        <v>77</v>
      </c>
      <c r="K19" s="28"/>
      <c r="L19" s="104">
        <f>693.28/0.00086/5776.8</f>
        <v>139.5477660441284</v>
      </c>
    </row>
    <row r="20" spans="1:12" ht="12.75">
      <c r="A20" s="96">
        <v>9</v>
      </c>
      <c r="B20" s="98" t="s">
        <v>113</v>
      </c>
      <c r="C20" s="45">
        <f>7431.48+540.7+497.7+432.2+48+1176</f>
        <v>10126.08</v>
      </c>
      <c r="D20" s="28" t="s">
        <v>77</v>
      </c>
      <c r="E20" s="28" t="s">
        <v>139</v>
      </c>
      <c r="F20" s="28" t="s">
        <v>77</v>
      </c>
      <c r="G20" s="28" t="s">
        <v>139</v>
      </c>
      <c r="H20" s="28" t="s">
        <v>77</v>
      </c>
      <c r="I20" s="28" t="s">
        <v>62</v>
      </c>
      <c r="J20" s="28" t="s">
        <v>77</v>
      </c>
      <c r="K20" s="28" t="s">
        <v>139</v>
      </c>
      <c r="L20" s="104">
        <f>1285.3/0.00086/10126.08</f>
        <v>147.59264036240384</v>
      </c>
    </row>
    <row r="21" spans="1:12" ht="12.75">
      <c r="A21" s="96">
        <v>10</v>
      </c>
      <c r="B21" s="29" t="s">
        <v>133</v>
      </c>
      <c r="C21" s="45">
        <f>997.4</f>
        <v>997.4</v>
      </c>
      <c r="D21" s="28" t="s">
        <v>77</v>
      </c>
      <c r="E21" s="28" t="s">
        <v>62</v>
      </c>
      <c r="F21" s="28" t="s">
        <v>77</v>
      </c>
      <c r="G21" s="28"/>
      <c r="H21" s="28" t="s">
        <v>77</v>
      </c>
      <c r="I21" s="28" t="s">
        <v>139</v>
      </c>
      <c r="J21" s="28" t="s">
        <v>77</v>
      </c>
      <c r="K21" s="28" t="s">
        <v>139</v>
      </c>
      <c r="L21" s="104">
        <f>256.4/1.16/0.00086/997.4</f>
        <v>257.6868261650299</v>
      </c>
    </row>
    <row r="22" spans="1:12" ht="12.75">
      <c r="A22" s="96">
        <v>11</v>
      </c>
      <c r="B22" s="29" t="s">
        <v>132</v>
      </c>
      <c r="C22" s="45">
        <v>1050.9</v>
      </c>
      <c r="D22" s="28" t="s">
        <v>77</v>
      </c>
      <c r="E22" s="28" t="s">
        <v>139</v>
      </c>
      <c r="F22" s="28" t="s">
        <v>77</v>
      </c>
      <c r="G22" s="28"/>
      <c r="H22" s="28" t="s">
        <v>77</v>
      </c>
      <c r="I22" s="28" t="s">
        <v>139</v>
      </c>
      <c r="J22" s="28" t="s">
        <v>77</v>
      </c>
      <c r="K22" s="28" t="s">
        <v>139</v>
      </c>
      <c r="L22" s="104">
        <f>172.3/1.16/0.00086/1050.9</f>
        <v>164.34914343477539</v>
      </c>
    </row>
    <row r="23" spans="1:12" ht="12.75">
      <c r="A23" s="96">
        <v>12</v>
      </c>
      <c r="B23" s="98" t="s">
        <v>125</v>
      </c>
      <c r="C23" s="45">
        <f>4017+402+1020</f>
        <v>5439</v>
      </c>
      <c r="D23" s="28" t="s">
        <v>77</v>
      </c>
      <c r="E23" s="28" t="s">
        <v>139</v>
      </c>
      <c r="F23" s="28" t="s">
        <v>77</v>
      </c>
      <c r="G23" s="28" t="s">
        <v>139</v>
      </c>
      <c r="H23" s="28" t="s">
        <v>77</v>
      </c>
      <c r="I23" s="28" t="s">
        <v>139</v>
      </c>
      <c r="J23" s="28" t="s">
        <v>77</v>
      </c>
      <c r="K23" s="28"/>
      <c r="L23" s="104">
        <f>768.3/1.16/0.00086/5439</f>
        <v>141.5974179177295</v>
      </c>
    </row>
    <row r="24" spans="1:12" ht="12.75">
      <c r="A24" s="96">
        <v>13</v>
      </c>
      <c r="B24" s="98" t="s">
        <v>116</v>
      </c>
      <c r="C24" s="45">
        <f>10889.08+151.4+879+565.7+91.2+18.5+920.52</f>
        <v>13515.400000000001</v>
      </c>
      <c r="D24" s="28" t="s">
        <v>77</v>
      </c>
      <c r="E24" s="28" t="s">
        <v>139</v>
      </c>
      <c r="F24" s="28" t="s">
        <v>77</v>
      </c>
      <c r="G24" s="28" t="s">
        <v>139</v>
      </c>
      <c r="H24" s="28" t="s">
        <v>77</v>
      </c>
      <c r="I24" s="28" t="s">
        <v>139</v>
      </c>
      <c r="J24" s="28" t="s">
        <v>77</v>
      </c>
      <c r="K24" s="28" t="s">
        <v>139</v>
      </c>
      <c r="L24" s="104">
        <f>1542.4/1.16/0.00086/13515.4</f>
        <v>114.39621954196207</v>
      </c>
    </row>
    <row r="25" spans="1:12" ht="25.5">
      <c r="A25" s="96">
        <v>14</v>
      </c>
      <c r="B25" s="29" t="s">
        <v>73</v>
      </c>
      <c r="C25" s="45">
        <v>6592.6</v>
      </c>
      <c r="D25" s="28" t="s">
        <v>77</v>
      </c>
      <c r="E25" s="28" t="s">
        <v>139</v>
      </c>
      <c r="F25" s="28" t="s">
        <v>77</v>
      </c>
      <c r="G25" s="28"/>
      <c r="H25" s="99" t="s">
        <v>78</v>
      </c>
      <c r="I25" s="28"/>
      <c r="J25" s="28" t="s">
        <v>77</v>
      </c>
      <c r="K25" s="28" t="s">
        <v>139</v>
      </c>
      <c r="L25" s="104">
        <f>512/1.16/0.00086/6592.6</f>
        <v>77.84967330262958</v>
      </c>
    </row>
    <row r="26" spans="1:12" ht="12.75">
      <c r="A26" s="96">
        <v>15</v>
      </c>
      <c r="B26" s="98" t="s">
        <v>108</v>
      </c>
      <c r="C26" s="45">
        <f>2300.3+151.3+138.6+201.4</f>
        <v>2791.6000000000004</v>
      </c>
      <c r="D26" s="28" t="s">
        <v>77</v>
      </c>
      <c r="E26" s="28" t="s">
        <v>139</v>
      </c>
      <c r="F26" s="28" t="s">
        <v>77</v>
      </c>
      <c r="G26" s="28" t="s">
        <v>139</v>
      </c>
      <c r="H26" s="28" t="s">
        <v>77</v>
      </c>
      <c r="I26" s="28" t="s">
        <v>139</v>
      </c>
      <c r="J26" s="28" t="s">
        <v>77</v>
      </c>
      <c r="K26" s="28" t="s">
        <v>139</v>
      </c>
      <c r="L26" s="104">
        <f>1061.1/1.16/0.00086/2791.6</f>
        <v>381.01904522135544</v>
      </c>
    </row>
    <row r="27" spans="1:12" ht="12.75">
      <c r="A27" s="96">
        <v>16</v>
      </c>
      <c r="B27" s="29" t="s">
        <v>100</v>
      </c>
      <c r="C27" s="45">
        <f>5441.9+237.6+502.4+516.2+7.2+34.8</f>
        <v>6740.099999999999</v>
      </c>
      <c r="D27" s="28" t="s">
        <v>77</v>
      </c>
      <c r="E27" s="28" t="s">
        <v>139</v>
      </c>
      <c r="F27" s="28" t="s">
        <v>77</v>
      </c>
      <c r="G27" s="28" t="s">
        <v>139</v>
      </c>
      <c r="H27" s="28" t="s">
        <v>77</v>
      </c>
      <c r="I27" s="28" t="s">
        <v>139</v>
      </c>
      <c r="J27" s="28" t="s">
        <v>77</v>
      </c>
      <c r="K27" s="28" t="s">
        <v>139</v>
      </c>
      <c r="L27" s="104">
        <f>680.45/1.16/0.00086/6740.1</f>
        <v>101.19835148160574</v>
      </c>
    </row>
    <row r="28" spans="1:12" ht="12.75">
      <c r="A28" s="96">
        <v>17</v>
      </c>
      <c r="B28" s="100" t="s">
        <v>127</v>
      </c>
      <c r="C28" s="45">
        <f>780.2+38.8+371.2</f>
        <v>1190.2</v>
      </c>
      <c r="D28" s="28" t="s">
        <v>77</v>
      </c>
      <c r="E28" s="28" t="s">
        <v>139</v>
      </c>
      <c r="F28" s="28" t="s">
        <v>77</v>
      </c>
      <c r="G28" s="28"/>
      <c r="H28" s="28" t="s">
        <v>140</v>
      </c>
      <c r="I28" s="28"/>
      <c r="J28" s="28" t="s">
        <v>77</v>
      </c>
      <c r="K28" s="28"/>
      <c r="L28" s="104">
        <f>220/1.16/0.00086/1190.2</f>
        <v>185.2875737259256</v>
      </c>
    </row>
    <row r="29" spans="1:12" ht="12.75">
      <c r="A29" s="96">
        <v>18</v>
      </c>
      <c r="B29" s="29" t="s">
        <v>72</v>
      </c>
      <c r="C29" s="45">
        <f>7831.9+63.5+600.2+27.6+32.8+881.8</f>
        <v>9437.8</v>
      </c>
      <c r="D29" s="28" t="s">
        <v>77</v>
      </c>
      <c r="E29" s="28" t="s">
        <v>139</v>
      </c>
      <c r="F29" s="28" t="s">
        <v>77</v>
      </c>
      <c r="G29" s="28" t="s">
        <v>139</v>
      </c>
      <c r="H29" s="28" t="s">
        <v>77</v>
      </c>
      <c r="I29" s="28" t="s">
        <v>139</v>
      </c>
      <c r="J29" s="28" t="s">
        <v>77</v>
      </c>
      <c r="K29" s="28" t="s">
        <v>139</v>
      </c>
      <c r="L29" s="104">
        <f>929/1.16/0.00086/9437.8</f>
        <v>98.67076690684189</v>
      </c>
    </row>
    <row r="30" spans="1:12" ht="12.75">
      <c r="A30" s="96">
        <v>19</v>
      </c>
      <c r="B30" s="100" t="s">
        <v>119</v>
      </c>
      <c r="C30" s="45">
        <f>2168.9+441.4+294+15.5+824+50.24</f>
        <v>3794.04</v>
      </c>
      <c r="D30" s="28" t="s">
        <v>77</v>
      </c>
      <c r="E30" s="28" t="s">
        <v>139</v>
      </c>
      <c r="F30" s="28" t="s">
        <v>77</v>
      </c>
      <c r="G30" s="28" t="s">
        <v>139</v>
      </c>
      <c r="H30" s="28" t="s">
        <v>77</v>
      </c>
      <c r="I30" s="28" t="s">
        <v>139</v>
      </c>
      <c r="J30" s="28" t="s">
        <v>77</v>
      </c>
      <c r="K30" s="28" t="s">
        <v>139</v>
      </c>
      <c r="L30" s="104">
        <f>574.47/0.00086/3794.04</f>
        <v>176.06255392484616</v>
      </c>
    </row>
    <row r="31" spans="1:12" ht="12.75">
      <c r="A31" s="96">
        <v>20</v>
      </c>
      <c r="B31" s="98" t="s">
        <v>126</v>
      </c>
      <c r="C31" s="45">
        <f>3547.3+279+877.5</f>
        <v>4703.8</v>
      </c>
      <c r="D31" s="28" t="s">
        <v>77</v>
      </c>
      <c r="E31" s="28" t="s">
        <v>139</v>
      </c>
      <c r="F31" s="28" t="s">
        <v>77</v>
      </c>
      <c r="G31" s="28" t="s">
        <v>139</v>
      </c>
      <c r="H31" s="28" t="s">
        <v>77</v>
      </c>
      <c r="I31" s="28" t="s">
        <v>139</v>
      </c>
      <c r="J31" s="28" t="s">
        <v>77</v>
      </c>
      <c r="K31" s="28"/>
      <c r="L31" s="104">
        <f>547.8/1.16/0.00086/4703.8</f>
        <v>116.7392072194833</v>
      </c>
    </row>
    <row r="32" spans="1:12" ht="12.75">
      <c r="A32" s="96">
        <v>21</v>
      </c>
      <c r="B32" s="100" t="s">
        <v>115</v>
      </c>
      <c r="C32" s="45">
        <f>5819.8+230.9+640.9+723.7+15.4+80.1</f>
        <v>7510.799999999999</v>
      </c>
      <c r="D32" s="28" t="s">
        <v>77</v>
      </c>
      <c r="E32" s="28" t="s">
        <v>139</v>
      </c>
      <c r="F32" s="28" t="s">
        <v>77</v>
      </c>
      <c r="G32" s="28" t="s">
        <v>139</v>
      </c>
      <c r="H32" s="28" t="s">
        <v>77</v>
      </c>
      <c r="I32" s="28" t="s">
        <v>139</v>
      </c>
      <c r="J32" s="28" t="s">
        <v>77</v>
      </c>
      <c r="K32" s="28" t="s">
        <v>139</v>
      </c>
      <c r="L32" s="104">
        <f>905.37/0.00086/7510.8</f>
        <v>140.16560339158124</v>
      </c>
    </row>
    <row r="33" spans="1:12" ht="13.5" thickBot="1">
      <c r="A33" s="123">
        <v>22</v>
      </c>
      <c r="B33" s="108" t="s">
        <v>120</v>
      </c>
      <c r="C33" s="101">
        <f>2993.6+138.2+254</f>
        <v>3385.7999999999997</v>
      </c>
      <c r="D33" s="102" t="s">
        <v>77</v>
      </c>
      <c r="E33" s="102" t="s">
        <v>139</v>
      </c>
      <c r="F33" s="102" t="s">
        <v>77</v>
      </c>
      <c r="G33" s="102" t="s">
        <v>139</v>
      </c>
      <c r="H33" s="102" t="s">
        <v>77</v>
      </c>
      <c r="I33" s="102" t="s">
        <v>139</v>
      </c>
      <c r="J33" s="102" t="s">
        <v>77</v>
      </c>
      <c r="K33" s="102" t="s">
        <v>139</v>
      </c>
      <c r="L33" s="105">
        <f>455.71/0.00086/3385.8</f>
        <v>156.50521260476378</v>
      </c>
    </row>
    <row r="34" spans="1:12" ht="12.75">
      <c r="A34" s="124">
        <v>23</v>
      </c>
      <c r="B34" s="125" t="s">
        <v>121</v>
      </c>
      <c r="C34" s="121">
        <f>3302.5+186.5+276.1</f>
        <v>3765.1</v>
      </c>
      <c r="D34" s="122" t="s">
        <v>77</v>
      </c>
      <c r="E34" s="122" t="s">
        <v>139</v>
      </c>
      <c r="F34" s="122" t="s">
        <v>77</v>
      </c>
      <c r="G34" s="122" t="s">
        <v>139</v>
      </c>
      <c r="H34" s="122" t="s">
        <v>77</v>
      </c>
      <c r="I34" s="122" t="s">
        <v>139</v>
      </c>
      <c r="J34" s="122" t="s">
        <v>77</v>
      </c>
      <c r="K34" s="122" t="s">
        <v>139</v>
      </c>
      <c r="L34" s="126">
        <f>570/0.00086/3765.1</f>
        <v>176.03535036902568</v>
      </c>
    </row>
    <row r="35" spans="1:12" ht="12.75">
      <c r="A35" s="96">
        <v>24</v>
      </c>
      <c r="B35" s="29" t="s">
        <v>145</v>
      </c>
      <c r="C35" s="45">
        <f>3840.6+331.2+268.2+586.5</f>
        <v>5026.5</v>
      </c>
      <c r="D35" s="28" t="s">
        <v>77</v>
      </c>
      <c r="E35" s="28" t="s">
        <v>139</v>
      </c>
      <c r="F35" s="28" t="s">
        <v>77</v>
      </c>
      <c r="G35" s="28" t="s">
        <v>139</v>
      </c>
      <c r="H35" s="28" t="s">
        <v>77</v>
      </c>
      <c r="I35" s="28" t="s">
        <v>139</v>
      </c>
      <c r="J35" s="28" t="s">
        <v>77</v>
      </c>
      <c r="K35" s="28" t="s">
        <v>139</v>
      </c>
      <c r="L35" s="104">
        <f>582.39/1.16/0.00086/5026.5</f>
        <v>116.1426636102115</v>
      </c>
    </row>
    <row r="36" spans="1:12" ht="12.75">
      <c r="A36" s="96">
        <v>25</v>
      </c>
      <c r="B36" s="29" t="s">
        <v>74</v>
      </c>
      <c r="C36" s="45">
        <f>7876.15+24+458.4+429.8+57.2+10.8+1147.6</f>
        <v>10003.949999999999</v>
      </c>
      <c r="D36" s="28" t="s">
        <v>77</v>
      </c>
      <c r="E36" s="28" t="s">
        <v>139</v>
      </c>
      <c r="F36" s="28" t="s">
        <v>77</v>
      </c>
      <c r="G36" s="28" t="s">
        <v>139</v>
      </c>
      <c r="H36" s="28" t="s">
        <v>77</v>
      </c>
      <c r="I36" s="28" t="s">
        <v>139</v>
      </c>
      <c r="J36" s="28" t="s">
        <v>77</v>
      </c>
      <c r="K36" s="28" t="s">
        <v>139</v>
      </c>
      <c r="L36" s="104">
        <f>835.17/1.16/0.00086/10003.95</f>
        <v>83.684867492577</v>
      </c>
    </row>
    <row r="37" spans="1:12" ht="12.75">
      <c r="A37" s="96">
        <v>26</v>
      </c>
      <c r="B37" s="98" t="s">
        <v>122</v>
      </c>
      <c r="C37" s="45">
        <f>2905.8+507.7+676+32.5</f>
        <v>4122</v>
      </c>
      <c r="D37" s="28" t="s">
        <v>77</v>
      </c>
      <c r="E37" s="28" t="s">
        <v>139</v>
      </c>
      <c r="F37" s="28" t="s">
        <v>77</v>
      </c>
      <c r="G37" s="28" t="s">
        <v>139</v>
      </c>
      <c r="H37" s="28" t="s">
        <v>77</v>
      </c>
      <c r="I37" s="28" t="s">
        <v>139</v>
      </c>
      <c r="J37" s="28" t="s">
        <v>77</v>
      </c>
      <c r="K37" s="28" t="s">
        <v>139</v>
      </c>
      <c r="L37" s="104">
        <f>346.67/0.00086/4122</f>
        <v>97.79346219378716</v>
      </c>
    </row>
    <row r="38" spans="1:12" ht="12.75">
      <c r="A38" s="96">
        <v>27</v>
      </c>
      <c r="B38" s="29" t="s">
        <v>70</v>
      </c>
      <c r="C38" s="45">
        <f>10953+890.8+640.3+1344.1</f>
        <v>13828.199999999999</v>
      </c>
      <c r="D38" s="28" t="s">
        <v>77</v>
      </c>
      <c r="E38" s="28" t="s">
        <v>62</v>
      </c>
      <c r="F38" s="28" t="s">
        <v>77</v>
      </c>
      <c r="G38" s="28" t="s">
        <v>139</v>
      </c>
      <c r="H38" s="28" t="s">
        <v>77</v>
      </c>
      <c r="I38" s="28" t="s">
        <v>139</v>
      </c>
      <c r="J38" s="28" t="s">
        <v>77</v>
      </c>
      <c r="K38" s="28" t="s">
        <v>139</v>
      </c>
      <c r="L38" s="104">
        <f>1824/1.16/0.00086/13828.2</f>
        <v>132.22170141563166</v>
      </c>
    </row>
    <row r="39" spans="1:12" ht="12.75">
      <c r="A39" s="96">
        <v>28</v>
      </c>
      <c r="B39" s="29" t="s">
        <v>95</v>
      </c>
      <c r="C39" s="45">
        <f>9523.5+85.7+539.5+483+1147</f>
        <v>11778.7</v>
      </c>
      <c r="D39" s="28" t="s">
        <v>77</v>
      </c>
      <c r="E39" s="28" t="s">
        <v>139</v>
      </c>
      <c r="F39" s="28" t="s">
        <v>77</v>
      </c>
      <c r="G39" s="28" t="s">
        <v>139</v>
      </c>
      <c r="H39" s="28" t="s">
        <v>77</v>
      </c>
      <c r="I39" s="28" t="s">
        <v>139</v>
      </c>
      <c r="J39" s="28" t="s">
        <v>77</v>
      </c>
      <c r="K39" s="28" t="s">
        <v>139</v>
      </c>
      <c r="L39" s="104">
        <f>1622.9/1.16/0.00086/11778.7</f>
        <v>138.11408138359437</v>
      </c>
    </row>
    <row r="40" spans="1:12" ht="12.75">
      <c r="A40" s="96">
        <v>29</v>
      </c>
      <c r="B40" s="29" t="s">
        <v>71</v>
      </c>
      <c r="C40" s="45">
        <f>13646.7+837.5+742+215.6+100.2+40.3+1449.8</f>
        <v>17032.100000000002</v>
      </c>
      <c r="D40" s="28" t="s">
        <v>77</v>
      </c>
      <c r="E40" s="28" t="s">
        <v>139</v>
      </c>
      <c r="F40" s="28" t="s">
        <v>77</v>
      </c>
      <c r="G40" s="28" t="s">
        <v>139</v>
      </c>
      <c r="H40" s="28" t="s">
        <v>77</v>
      </c>
      <c r="I40" s="28" t="s">
        <v>139</v>
      </c>
      <c r="J40" s="28" t="s">
        <v>77</v>
      </c>
      <c r="K40" s="28" t="s">
        <v>139</v>
      </c>
      <c r="L40" s="104">
        <f>1413.7/1.16/0.00086/17032.1</f>
        <v>83.20178031493504</v>
      </c>
    </row>
    <row r="41" spans="1:12" ht="12.75">
      <c r="A41" s="96">
        <v>30</v>
      </c>
      <c r="B41" s="29" t="s">
        <v>97</v>
      </c>
      <c r="C41" s="45">
        <f>8759.6+481.2+977.2+1218+148.1</f>
        <v>11584.100000000002</v>
      </c>
      <c r="D41" s="28" t="s">
        <v>77</v>
      </c>
      <c r="E41" s="28" t="s">
        <v>139</v>
      </c>
      <c r="F41" s="28" t="s">
        <v>77</v>
      </c>
      <c r="G41" s="28" t="s">
        <v>139</v>
      </c>
      <c r="H41" s="28" t="s">
        <v>77</v>
      </c>
      <c r="I41" s="28" t="s">
        <v>139</v>
      </c>
      <c r="J41" s="28" t="s">
        <v>77</v>
      </c>
      <c r="K41" s="28" t="s">
        <v>139</v>
      </c>
      <c r="L41" s="104">
        <f>2597.5/0.00086/11584.1</f>
        <v>260.7322828022291</v>
      </c>
    </row>
    <row r="42" spans="1:12" ht="25.5">
      <c r="A42" s="96">
        <v>31</v>
      </c>
      <c r="B42" s="29" t="s">
        <v>93</v>
      </c>
      <c r="C42" s="45">
        <v>3606.42</v>
      </c>
      <c r="D42" s="28" t="s">
        <v>77</v>
      </c>
      <c r="E42" s="28" t="s">
        <v>139</v>
      </c>
      <c r="F42" s="28" t="s">
        <v>77</v>
      </c>
      <c r="G42" s="28" t="s">
        <v>139</v>
      </c>
      <c r="H42" s="99" t="s">
        <v>78</v>
      </c>
      <c r="I42" s="28"/>
      <c r="J42" s="28" t="s">
        <v>77</v>
      </c>
      <c r="K42" s="28" t="s">
        <v>139</v>
      </c>
      <c r="L42" s="104">
        <f>519/1.16/0.00086/3606.42</f>
        <v>144.25624209934412</v>
      </c>
    </row>
    <row r="43" spans="1:12" ht="25.5">
      <c r="A43" s="96">
        <v>32</v>
      </c>
      <c r="B43" s="29" t="s">
        <v>91</v>
      </c>
      <c r="C43" s="45">
        <f>1983.43+160.2+758.8</f>
        <v>2902.4300000000003</v>
      </c>
      <c r="D43" s="28" t="s">
        <v>77</v>
      </c>
      <c r="E43" s="28" t="s">
        <v>139</v>
      </c>
      <c r="F43" s="28" t="s">
        <v>77</v>
      </c>
      <c r="G43" s="28"/>
      <c r="H43" s="99" t="s">
        <v>78</v>
      </c>
      <c r="I43" s="28"/>
      <c r="J43" s="28" t="s">
        <v>77</v>
      </c>
      <c r="K43" s="28" t="s">
        <v>139</v>
      </c>
      <c r="L43" s="104">
        <f>390.01/1.16/0.00086/2902.43</f>
        <v>134.69688359825008</v>
      </c>
    </row>
    <row r="44" spans="1:12" ht="25.5">
      <c r="A44" s="96">
        <v>33</v>
      </c>
      <c r="B44" s="29" t="s">
        <v>69</v>
      </c>
      <c r="C44" s="45">
        <v>3162.95</v>
      </c>
      <c r="D44" s="28" t="s">
        <v>77</v>
      </c>
      <c r="E44" s="28" t="s">
        <v>139</v>
      </c>
      <c r="F44" s="28" t="s">
        <v>77</v>
      </c>
      <c r="G44" s="28"/>
      <c r="H44" s="99" t="s">
        <v>78</v>
      </c>
      <c r="I44" s="28"/>
      <c r="J44" s="28" t="s">
        <v>77</v>
      </c>
      <c r="K44" s="28"/>
      <c r="L44" s="104">
        <f>438.57/1.16/0.00086/3162.95</f>
        <v>138.99211187043028</v>
      </c>
    </row>
    <row r="45" spans="1:12" ht="25.5">
      <c r="A45" s="96">
        <v>34</v>
      </c>
      <c r="B45" s="29" t="s">
        <v>89</v>
      </c>
      <c r="C45" s="45">
        <v>3201.68</v>
      </c>
      <c r="D45" s="28" t="s">
        <v>77</v>
      </c>
      <c r="E45" s="28" t="s">
        <v>139</v>
      </c>
      <c r="F45" s="28" t="s">
        <v>77</v>
      </c>
      <c r="G45" s="28"/>
      <c r="H45" s="99" t="s">
        <v>78</v>
      </c>
      <c r="I45" s="28"/>
      <c r="J45" s="28" t="s">
        <v>77</v>
      </c>
      <c r="K45" s="28" t="s">
        <v>139</v>
      </c>
      <c r="L45" s="104">
        <f>519.02/1.16/0.00086/3201.68</f>
        <v>162.49863969771926</v>
      </c>
    </row>
    <row r="46" spans="1:12" ht="12.75">
      <c r="A46" s="96">
        <v>35</v>
      </c>
      <c r="B46" s="29" t="s">
        <v>92</v>
      </c>
      <c r="C46" s="45">
        <f>5057.9+114.1+422.2+1079.9</f>
        <v>6674.1</v>
      </c>
      <c r="D46" s="28" t="s">
        <v>77</v>
      </c>
      <c r="E46" s="28" t="s">
        <v>139</v>
      </c>
      <c r="F46" s="28" t="s">
        <v>77</v>
      </c>
      <c r="G46" s="28" t="s">
        <v>139</v>
      </c>
      <c r="H46" s="28" t="s">
        <v>77</v>
      </c>
      <c r="I46" s="28" t="s">
        <v>139</v>
      </c>
      <c r="J46" s="28" t="s">
        <v>77</v>
      </c>
      <c r="K46" s="28" t="s">
        <v>139</v>
      </c>
      <c r="L46" s="104">
        <f>648.407/1.16/0.00086/6474.1</f>
        <v>100.39494610980101</v>
      </c>
    </row>
    <row r="47" spans="1:12" ht="25.5">
      <c r="A47" s="96">
        <v>36</v>
      </c>
      <c r="B47" s="29" t="s">
        <v>67</v>
      </c>
      <c r="C47" s="45">
        <f>1282.21+461.8+59.7+680.4</f>
        <v>2484.11</v>
      </c>
      <c r="D47" s="28" t="s">
        <v>77</v>
      </c>
      <c r="E47" s="28" t="s">
        <v>139</v>
      </c>
      <c r="F47" s="28" t="s">
        <v>77</v>
      </c>
      <c r="G47" s="28" t="s">
        <v>139</v>
      </c>
      <c r="H47" s="99" t="s">
        <v>78</v>
      </c>
      <c r="I47" s="28"/>
      <c r="J47" s="28" t="s">
        <v>77</v>
      </c>
      <c r="K47" s="28"/>
      <c r="L47" s="104">
        <f>514.712/0.00086/2484.11</f>
        <v>240.9322959053324</v>
      </c>
    </row>
    <row r="48" spans="1:12" ht="12.75">
      <c r="A48" s="96">
        <v>37</v>
      </c>
      <c r="B48" s="29" t="s">
        <v>66</v>
      </c>
      <c r="C48" s="45">
        <f>3825.4+238.4+322.2+158.7+459</f>
        <v>5003.7</v>
      </c>
      <c r="D48" s="28" t="s">
        <v>77</v>
      </c>
      <c r="E48" s="28" t="s">
        <v>139</v>
      </c>
      <c r="F48" s="28" t="s">
        <v>77</v>
      </c>
      <c r="G48" s="28" t="s">
        <v>139</v>
      </c>
      <c r="H48" s="28" t="s">
        <v>77</v>
      </c>
      <c r="I48" s="28" t="s">
        <v>139</v>
      </c>
      <c r="J48" s="28" t="s">
        <v>77</v>
      </c>
      <c r="K48" s="28" t="s">
        <v>139</v>
      </c>
      <c r="L48" s="104">
        <f>286.7/0.00086/5003.7</f>
        <v>66.62511601879726</v>
      </c>
    </row>
    <row r="49" spans="1:12" ht="12.75">
      <c r="A49" s="96">
        <v>38</v>
      </c>
      <c r="B49" s="98" t="s">
        <v>129</v>
      </c>
      <c r="C49" s="45">
        <f>7533+43+432+186+1120</f>
        <v>9314</v>
      </c>
      <c r="D49" s="28" t="s">
        <v>77</v>
      </c>
      <c r="E49" s="28" t="s">
        <v>139</v>
      </c>
      <c r="F49" s="28" t="s">
        <v>77</v>
      </c>
      <c r="G49" s="28" t="s">
        <v>139</v>
      </c>
      <c r="H49" s="28" t="s">
        <v>77</v>
      </c>
      <c r="I49" s="28" t="s">
        <v>139</v>
      </c>
      <c r="J49" s="28" t="s">
        <v>77</v>
      </c>
      <c r="K49" s="28" t="s">
        <v>139</v>
      </c>
      <c r="L49" s="104">
        <f>3420/1.16/0.00086/9314</f>
        <v>368.0725517062294</v>
      </c>
    </row>
    <row r="50" spans="1:12" ht="12.75">
      <c r="A50" s="96">
        <v>39</v>
      </c>
      <c r="B50" s="29" t="s">
        <v>94</v>
      </c>
      <c r="C50" s="45">
        <f>13355.4+362.7+1399.4+1925</f>
        <v>17042.5</v>
      </c>
      <c r="D50" s="28" t="s">
        <v>77</v>
      </c>
      <c r="E50" s="28" t="s">
        <v>139</v>
      </c>
      <c r="F50" s="28" t="s">
        <v>77</v>
      </c>
      <c r="G50" s="28" t="s">
        <v>139</v>
      </c>
      <c r="H50" s="28" t="s">
        <v>77</v>
      </c>
      <c r="I50" s="28" t="s">
        <v>62</v>
      </c>
      <c r="J50" s="28" t="s">
        <v>77</v>
      </c>
      <c r="K50" s="28" t="s">
        <v>139</v>
      </c>
      <c r="L50" s="104">
        <f>3638/0.00086/17042.5</f>
        <v>248.21666763324245</v>
      </c>
    </row>
    <row r="51" spans="1:12" ht="12.75">
      <c r="A51" s="96">
        <v>40</v>
      </c>
      <c r="B51" s="98" t="s">
        <v>68</v>
      </c>
      <c r="C51" s="45">
        <f>10886.7+851.9+556.1+1620.3</f>
        <v>13915</v>
      </c>
      <c r="D51" s="28" t="s">
        <v>77</v>
      </c>
      <c r="E51" s="28" t="s">
        <v>139</v>
      </c>
      <c r="F51" s="28" t="s">
        <v>77</v>
      </c>
      <c r="G51" s="28" t="s">
        <v>139</v>
      </c>
      <c r="H51" s="28" t="s">
        <v>77</v>
      </c>
      <c r="I51" s="28" t="s">
        <v>139</v>
      </c>
      <c r="J51" s="28" t="s">
        <v>77</v>
      </c>
      <c r="K51" s="28" t="s">
        <v>139</v>
      </c>
      <c r="L51" s="104">
        <f>1300/0.00086/13915</f>
        <v>108.63297930123926</v>
      </c>
    </row>
    <row r="52" spans="1:12" ht="12.75">
      <c r="A52" s="96">
        <v>41</v>
      </c>
      <c r="B52" s="98" t="s">
        <v>112</v>
      </c>
      <c r="C52" s="45">
        <f>8025.22+94.4+520+615+1000</f>
        <v>10254.619999999999</v>
      </c>
      <c r="D52" s="28" t="s">
        <v>77</v>
      </c>
      <c r="E52" s="28" t="s">
        <v>139</v>
      </c>
      <c r="F52" s="28" t="s">
        <v>77</v>
      </c>
      <c r="G52" s="28" t="s">
        <v>139</v>
      </c>
      <c r="H52" s="28" t="s">
        <v>77</v>
      </c>
      <c r="I52" s="28" t="s">
        <v>139</v>
      </c>
      <c r="J52" s="28" t="s">
        <v>77</v>
      </c>
      <c r="K52" s="28" t="s">
        <v>139</v>
      </c>
      <c r="L52" s="104">
        <f>993.79/0.00086/10254.62</f>
        <v>112.6877219674508</v>
      </c>
    </row>
    <row r="53" spans="1:12" ht="12.75">
      <c r="A53" s="96">
        <v>42</v>
      </c>
      <c r="B53" s="98" t="s">
        <v>110</v>
      </c>
      <c r="C53" s="45">
        <f>3166.94+221.3+274+216+900</f>
        <v>4778.24</v>
      </c>
      <c r="D53" s="28" t="s">
        <v>77</v>
      </c>
      <c r="E53" s="28" t="s">
        <v>139</v>
      </c>
      <c r="F53" s="28" t="s">
        <v>77</v>
      </c>
      <c r="G53" s="28" t="s">
        <v>139</v>
      </c>
      <c r="H53" s="28" t="s">
        <v>77</v>
      </c>
      <c r="I53" s="28" t="s">
        <v>62</v>
      </c>
      <c r="J53" s="28" t="s">
        <v>77</v>
      </c>
      <c r="K53" s="28"/>
      <c r="L53" s="104">
        <f>549.8/0.00086/4778.24</f>
        <v>133.7945196518792</v>
      </c>
    </row>
    <row r="54" spans="1:12" ht="12.75">
      <c r="A54" s="96">
        <v>43</v>
      </c>
      <c r="B54" s="98" t="s">
        <v>111</v>
      </c>
      <c r="C54" s="45">
        <f>4373.23+182.7+342.5+270+930</f>
        <v>6098.429999999999</v>
      </c>
      <c r="D54" s="28" t="s">
        <v>77</v>
      </c>
      <c r="E54" s="28" t="s">
        <v>139</v>
      </c>
      <c r="F54" s="28" t="s">
        <v>77</v>
      </c>
      <c r="G54" s="28" t="s">
        <v>139</v>
      </c>
      <c r="H54" s="28" t="s">
        <v>77</v>
      </c>
      <c r="I54" s="28" t="s">
        <v>139</v>
      </c>
      <c r="J54" s="28" t="s">
        <v>77</v>
      </c>
      <c r="K54" s="28" t="s">
        <v>139</v>
      </c>
      <c r="L54" s="104">
        <f>727.86/0.00086/6098.43</f>
        <v>138.78143017289733</v>
      </c>
    </row>
    <row r="55" spans="1:12" ht="25.5">
      <c r="A55" s="96">
        <v>44</v>
      </c>
      <c r="B55" s="29" t="s">
        <v>75</v>
      </c>
      <c r="C55" s="45">
        <v>5164.28</v>
      </c>
      <c r="D55" s="28" t="s">
        <v>77</v>
      </c>
      <c r="E55" s="28" t="s">
        <v>139</v>
      </c>
      <c r="F55" s="28" t="s">
        <v>77</v>
      </c>
      <c r="G55" s="28" t="s">
        <v>139</v>
      </c>
      <c r="H55" s="99" t="s">
        <v>78</v>
      </c>
      <c r="I55" s="28"/>
      <c r="J55" s="28" t="s">
        <v>77</v>
      </c>
      <c r="K55" s="28" t="s">
        <v>139</v>
      </c>
      <c r="L55" s="104">
        <f>774.69/1.16/0.00086/5164.28</f>
        <v>150.3701830554267</v>
      </c>
    </row>
    <row r="56" spans="1:12" ht="12.75">
      <c r="A56" s="96">
        <v>45</v>
      </c>
      <c r="B56" s="29" t="s">
        <v>134</v>
      </c>
      <c r="C56" s="45">
        <f>3088.28+241.2+857.8+858</f>
        <v>5045.28</v>
      </c>
      <c r="D56" s="28" t="s">
        <v>77</v>
      </c>
      <c r="E56" s="28" t="s">
        <v>139</v>
      </c>
      <c r="F56" s="28" t="s">
        <v>77</v>
      </c>
      <c r="G56" s="28" t="s">
        <v>139</v>
      </c>
      <c r="H56" s="28" t="s">
        <v>77</v>
      </c>
      <c r="I56" s="28" t="s">
        <v>139</v>
      </c>
      <c r="J56" s="28" t="s">
        <v>77</v>
      </c>
      <c r="K56" s="28"/>
      <c r="L56" s="104">
        <f>397/1.16/0.00086/5045.28</f>
        <v>78.87671094990391</v>
      </c>
    </row>
    <row r="57" spans="1:12" ht="25.5">
      <c r="A57" s="96">
        <v>46</v>
      </c>
      <c r="B57" s="29" t="s">
        <v>137</v>
      </c>
      <c r="C57" s="45">
        <f>3221.95+242+661.7</f>
        <v>4125.65</v>
      </c>
      <c r="D57" s="28" t="s">
        <v>77</v>
      </c>
      <c r="E57" s="28" t="s">
        <v>139</v>
      </c>
      <c r="F57" s="28" t="s">
        <v>77</v>
      </c>
      <c r="G57" s="28"/>
      <c r="H57" s="99" t="s">
        <v>78</v>
      </c>
      <c r="I57" s="28"/>
      <c r="J57" s="28" t="s">
        <v>77</v>
      </c>
      <c r="K57" s="28"/>
      <c r="L57" s="104">
        <f>865.8/1.16/0.00086/4125.65</f>
        <v>210.3627110893104</v>
      </c>
    </row>
    <row r="58" spans="1:12" ht="12.75">
      <c r="A58" s="96">
        <v>47</v>
      </c>
      <c r="B58" s="29" t="s">
        <v>98</v>
      </c>
      <c r="C58" s="45">
        <f>6934.52+98.5+425.4+420.1+709.3</f>
        <v>8587.82</v>
      </c>
      <c r="D58" s="28" t="s">
        <v>77</v>
      </c>
      <c r="E58" s="28" t="s">
        <v>62</v>
      </c>
      <c r="F58" s="28" t="s">
        <v>77</v>
      </c>
      <c r="G58" s="28" t="s">
        <v>139</v>
      </c>
      <c r="H58" s="28" t="s">
        <v>77</v>
      </c>
      <c r="I58" s="28" t="s">
        <v>139</v>
      </c>
      <c r="J58" s="28" t="s">
        <v>77</v>
      </c>
      <c r="K58" s="28" t="s">
        <v>139</v>
      </c>
      <c r="L58" s="104">
        <f>823/1.16/0.00086/8587.82</f>
        <v>96.06395475039334</v>
      </c>
    </row>
    <row r="59" spans="1:12" ht="12.75">
      <c r="A59" s="96">
        <v>48</v>
      </c>
      <c r="B59" s="98" t="s">
        <v>106</v>
      </c>
      <c r="C59" s="45">
        <f>4422.76+96.8+224.7+283</f>
        <v>5027.26</v>
      </c>
      <c r="D59" s="28" t="s">
        <v>77</v>
      </c>
      <c r="E59" s="28" t="s">
        <v>139</v>
      </c>
      <c r="F59" s="28" t="s">
        <v>77</v>
      </c>
      <c r="G59" s="28" t="s">
        <v>139</v>
      </c>
      <c r="H59" s="28" t="s">
        <v>77</v>
      </c>
      <c r="I59" s="28" t="s">
        <v>139</v>
      </c>
      <c r="J59" s="28" t="s">
        <v>77</v>
      </c>
      <c r="K59" s="28" t="s">
        <v>139</v>
      </c>
      <c r="L59" s="104">
        <f>760.07/0.00086/5027.26</f>
        <v>175.80199265233853</v>
      </c>
    </row>
    <row r="60" spans="1:12" ht="12.75">
      <c r="A60" s="96">
        <v>49</v>
      </c>
      <c r="B60" s="98" t="s">
        <v>109</v>
      </c>
      <c r="C60" s="45">
        <f>3965+412.3+833.7</f>
        <v>5211</v>
      </c>
      <c r="D60" s="28" t="s">
        <v>77</v>
      </c>
      <c r="E60" s="28" t="s">
        <v>139</v>
      </c>
      <c r="F60" s="28" t="s">
        <v>77</v>
      </c>
      <c r="G60" s="28" t="s">
        <v>139</v>
      </c>
      <c r="H60" s="28" t="s">
        <v>77</v>
      </c>
      <c r="I60" s="28" t="s">
        <v>139</v>
      </c>
      <c r="J60" s="28" t="s">
        <v>77</v>
      </c>
      <c r="K60" s="28" t="s">
        <v>139</v>
      </c>
      <c r="L60" s="104">
        <f>752.93/1.16/0.00086/5211</f>
        <v>144.83618869897234</v>
      </c>
    </row>
    <row r="61" spans="1:12" ht="12.75">
      <c r="A61" s="96">
        <v>50</v>
      </c>
      <c r="B61" s="98" t="s">
        <v>130</v>
      </c>
      <c r="C61" s="45">
        <f>11217.17+888+591.3+1285.3+18+56</f>
        <v>14055.769999999999</v>
      </c>
      <c r="D61" s="28" t="s">
        <v>77</v>
      </c>
      <c r="E61" s="28" t="s">
        <v>139</v>
      </c>
      <c r="F61" s="28" t="s">
        <v>77</v>
      </c>
      <c r="G61" s="28" t="s">
        <v>139</v>
      </c>
      <c r="H61" s="28" t="s">
        <v>77</v>
      </c>
      <c r="I61" s="28" t="s">
        <v>139</v>
      </c>
      <c r="J61" s="28" t="s">
        <v>77</v>
      </c>
      <c r="K61" s="28" t="s">
        <v>139</v>
      </c>
      <c r="L61" s="104">
        <f>1261.8/1.16/0.00086/14055.77</f>
        <v>89.98693102214162</v>
      </c>
    </row>
    <row r="62" spans="1:12" ht="12.75">
      <c r="A62" s="96">
        <v>51</v>
      </c>
      <c r="B62" s="98" t="s">
        <v>107</v>
      </c>
      <c r="C62" s="45">
        <f>5906+691+354.8+487.5+594.6</f>
        <v>8033.900000000001</v>
      </c>
      <c r="D62" s="28" t="s">
        <v>77</v>
      </c>
      <c r="E62" s="28" t="s">
        <v>139</v>
      </c>
      <c r="F62" s="28" t="s">
        <v>77</v>
      </c>
      <c r="G62" s="28" t="s">
        <v>139</v>
      </c>
      <c r="H62" s="28" t="s">
        <v>77</v>
      </c>
      <c r="I62" s="28" t="s">
        <v>139</v>
      </c>
      <c r="J62" s="28" t="s">
        <v>77</v>
      </c>
      <c r="K62" s="28" t="s">
        <v>139</v>
      </c>
      <c r="L62" s="104">
        <f>1561.97/1.16/0.00086/8033.9</f>
        <v>194.89012143439928</v>
      </c>
    </row>
    <row r="63" spans="1:12" ht="12.75">
      <c r="A63" s="96">
        <v>52</v>
      </c>
      <c r="B63" s="29" t="s">
        <v>84</v>
      </c>
      <c r="C63" s="45">
        <f>2356+38.5+239.2+561.2+520.71</f>
        <v>3715.6099999999997</v>
      </c>
      <c r="D63" s="28" t="s">
        <v>77</v>
      </c>
      <c r="E63" s="28" t="s">
        <v>139</v>
      </c>
      <c r="F63" s="28" t="s">
        <v>77</v>
      </c>
      <c r="G63" s="28" t="s">
        <v>139</v>
      </c>
      <c r="H63" s="28" t="s">
        <v>77</v>
      </c>
      <c r="I63" s="28" t="s">
        <v>139</v>
      </c>
      <c r="J63" s="28" t="s">
        <v>77</v>
      </c>
      <c r="K63" s="28" t="s">
        <v>139</v>
      </c>
      <c r="L63" s="104">
        <f>502.74/1.16/0.00086/3715.61</f>
        <v>135.63034838128803</v>
      </c>
    </row>
    <row r="64" spans="1:12" ht="12.75">
      <c r="A64" s="96">
        <v>53</v>
      </c>
      <c r="B64" s="29" t="s">
        <v>85</v>
      </c>
      <c r="C64" s="45">
        <f>2374.1+143.4+183+533.3+433.3</f>
        <v>3667.1000000000004</v>
      </c>
      <c r="D64" s="28" t="s">
        <v>77</v>
      </c>
      <c r="E64" s="28" t="s">
        <v>139</v>
      </c>
      <c r="F64" s="28" t="s">
        <v>77</v>
      </c>
      <c r="G64" s="28" t="s">
        <v>139</v>
      </c>
      <c r="H64" s="28" t="s">
        <v>77</v>
      </c>
      <c r="I64" s="28" t="s">
        <v>139</v>
      </c>
      <c r="J64" s="28" t="s">
        <v>77</v>
      </c>
      <c r="K64" s="28" t="s">
        <v>139</v>
      </c>
      <c r="L64" s="104">
        <f>471.24/1.16/0.00086/3667.1</f>
        <v>128.81396658735625</v>
      </c>
    </row>
    <row r="65" spans="1:12" ht="25.5">
      <c r="A65" s="96">
        <v>54</v>
      </c>
      <c r="B65" s="29" t="s">
        <v>88</v>
      </c>
      <c r="C65" s="45">
        <v>3795.42</v>
      </c>
      <c r="D65" s="28" t="s">
        <v>77</v>
      </c>
      <c r="E65" s="28" t="s">
        <v>139</v>
      </c>
      <c r="F65" s="28" t="s">
        <v>77</v>
      </c>
      <c r="G65" s="28" t="s">
        <v>139</v>
      </c>
      <c r="H65" s="99" t="s">
        <v>78</v>
      </c>
      <c r="I65" s="28"/>
      <c r="J65" s="28" t="s">
        <v>77</v>
      </c>
      <c r="K65" s="28" t="s">
        <v>139</v>
      </c>
      <c r="L65" s="104">
        <f>422.87/1.16/0.00086/3795.42</f>
        <v>111.68390575773391</v>
      </c>
    </row>
    <row r="66" spans="1:12" ht="12.75">
      <c r="A66" s="96">
        <v>55</v>
      </c>
      <c r="B66" s="29" t="s">
        <v>96</v>
      </c>
      <c r="C66" s="45">
        <v>2247</v>
      </c>
      <c r="D66" s="28" t="s">
        <v>77</v>
      </c>
      <c r="E66" s="28" t="s">
        <v>139</v>
      </c>
      <c r="F66" s="28" t="s">
        <v>77</v>
      </c>
      <c r="G66" s="28" t="s">
        <v>139</v>
      </c>
      <c r="H66" s="28" t="s">
        <v>77</v>
      </c>
      <c r="I66" s="28" t="s">
        <v>139</v>
      </c>
      <c r="J66" s="28" t="s">
        <v>77</v>
      </c>
      <c r="K66" s="28" t="s">
        <v>139</v>
      </c>
      <c r="L66" s="104">
        <f>522/1.16/0.00086/2247</f>
        <v>232.868631042941</v>
      </c>
    </row>
    <row r="67" spans="1:12" ht="12.75">
      <c r="A67" s="96">
        <v>56</v>
      </c>
      <c r="B67" s="29" t="s">
        <v>105</v>
      </c>
      <c r="C67" s="45">
        <f>1373+1334.2+300+612</f>
        <v>3619.2</v>
      </c>
      <c r="D67" s="28" t="s">
        <v>77</v>
      </c>
      <c r="E67" s="28" t="s">
        <v>139</v>
      </c>
      <c r="F67" s="28" t="s">
        <v>77</v>
      </c>
      <c r="G67" s="28" t="s">
        <v>139</v>
      </c>
      <c r="H67" s="28" t="s">
        <v>77</v>
      </c>
      <c r="I67" s="28" t="s">
        <v>139</v>
      </c>
      <c r="J67" s="28" t="s">
        <v>77</v>
      </c>
      <c r="K67" s="28" t="s">
        <v>139</v>
      </c>
      <c r="L67" s="104">
        <f>523.6/0.00086/3619.2</f>
        <v>168.22425102296796</v>
      </c>
    </row>
    <row r="68" spans="1:12" ht="13.5" thickBot="1">
      <c r="A68" s="123">
        <v>57</v>
      </c>
      <c r="B68" s="108" t="s">
        <v>81</v>
      </c>
      <c r="C68" s="101">
        <v>3724.5</v>
      </c>
      <c r="D68" s="102" t="s">
        <v>77</v>
      </c>
      <c r="E68" s="102" t="s">
        <v>139</v>
      </c>
      <c r="F68" s="102" t="s">
        <v>77</v>
      </c>
      <c r="G68" s="102" t="s">
        <v>139</v>
      </c>
      <c r="H68" s="102" t="s">
        <v>77</v>
      </c>
      <c r="I68" s="102" t="s">
        <v>139</v>
      </c>
      <c r="J68" s="102" t="s">
        <v>77</v>
      </c>
      <c r="K68" s="102" t="s">
        <v>139</v>
      </c>
      <c r="L68" s="167">
        <f>340/0.00086/3724.5</f>
        <v>106.14816410506171</v>
      </c>
    </row>
    <row r="69" spans="1:12" ht="25.5">
      <c r="A69" s="124">
        <v>58</v>
      </c>
      <c r="B69" s="120" t="s">
        <v>86</v>
      </c>
      <c r="C69" s="121">
        <v>3710.48</v>
      </c>
      <c r="D69" s="122" t="s">
        <v>77</v>
      </c>
      <c r="E69" s="122" t="s">
        <v>139</v>
      </c>
      <c r="F69" s="122" t="s">
        <v>77</v>
      </c>
      <c r="G69" s="122" t="s">
        <v>139</v>
      </c>
      <c r="H69" s="127" t="s">
        <v>78</v>
      </c>
      <c r="I69" s="122"/>
      <c r="J69" s="122" t="s">
        <v>77</v>
      </c>
      <c r="K69" s="122" t="s">
        <v>139</v>
      </c>
      <c r="L69" s="126">
        <f>547.91/1.16/0.00086/3710.48</f>
        <v>148.02078101866334</v>
      </c>
    </row>
    <row r="70" spans="1:12" ht="25.5">
      <c r="A70" s="96">
        <v>59</v>
      </c>
      <c r="B70" s="29" t="s">
        <v>76</v>
      </c>
      <c r="C70" s="45">
        <v>4854.58</v>
      </c>
      <c r="D70" s="28" t="s">
        <v>77</v>
      </c>
      <c r="E70" s="28" t="s">
        <v>139</v>
      </c>
      <c r="F70" s="28" t="s">
        <v>77</v>
      </c>
      <c r="G70" s="28" t="s">
        <v>139</v>
      </c>
      <c r="H70" s="99" t="s">
        <v>78</v>
      </c>
      <c r="I70" s="28"/>
      <c r="J70" s="28" t="s">
        <v>77</v>
      </c>
      <c r="K70" s="28"/>
      <c r="L70" s="104">
        <f>550.48/1.16/0.00086/4854.58</f>
        <v>113.66674983066365</v>
      </c>
    </row>
    <row r="71" spans="1:12" ht="12.75">
      <c r="A71" s="96">
        <v>60</v>
      </c>
      <c r="B71" s="29" t="s">
        <v>87</v>
      </c>
      <c r="C71" s="45">
        <v>4839.26</v>
      </c>
      <c r="D71" s="28" t="s">
        <v>77</v>
      </c>
      <c r="E71" s="28" t="s">
        <v>139</v>
      </c>
      <c r="F71" s="28" t="s">
        <v>77</v>
      </c>
      <c r="G71" s="28" t="s">
        <v>139</v>
      </c>
      <c r="H71" s="28" t="s">
        <v>77</v>
      </c>
      <c r="I71" s="28" t="s">
        <v>139</v>
      </c>
      <c r="J71" s="28" t="s">
        <v>77</v>
      </c>
      <c r="K71" s="28" t="s">
        <v>139</v>
      </c>
      <c r="L71" s="104">
        <f>560.23/1.16/0.00086/4839.26</f>
        <v>116.04621092647459</v>
      </c>
    </row>
    <row r="72" spans="1:12" ht="12.75">
      <c r="A72" s="96">
        <v>61</v>
      </c>
      <c r="B72" s="100" t="s">
        <v>124</v>
      </c>
      <c r="C72" s="45">
        <f>7875.6+456.3+405+1199.2</f>
        <v>9936.1</v>
      </c>
      <c r="D72" s="28" t="s">
        <v>77</v>
      </c>
      <c r="E72" s="28" t="s">
        <v>139</v>
      </c>
      <c r="F72" s="28" t="s">
        <v>77</v>
      </c>
      <c r="G72" s="28" t="s">
        <v>139</v>
      </c>
      <c r="H72" s="28" t="s">
        <v>77</v>
      </c>
      <c r="I72" s="28" t="s">
        <v>139</v>
      </c>
      <c r="J72" s="28" t="s">
        <v>77</v>
      </c>
      <c r="K72" s="28" t="s">
        <v>139</v>
      </c>
      <c r="L72" s="104">
        <f>1380/1.16/0.00086/9936.1</f>
        <v>139.22162296303532</v>
      </c>
    </row>
    <row r="73" spans="1:12" ht="12.75">
      <c r="A73" s="96">
        <v>62</v>
      </c>
      <c r="B73" s="29" t="s">
        <v>104</v>
      </c>
      <c r="C73" s="45">
        <f>9790+840+225+1566+48+16.5</f>
        <v>12485.5</v>
      </c>
      <c r="D73" s="28" t="s">
        <v>77</v>
      </c>
      <c r="E73" s="28" t="s">
        <v>139</v>
      </c>
      <c r="F73" s="28" t="s">
        <v>77</v>
      </c>
      <c r="G73" s="28" t="s">
        <v>139</v>
      </c>
      <c r="H73" s="28" t="s">
        <v>77</v>
      </c>
      <c r="I73" s="28" t="s">
        <v>139</v>
      </c>
      <c r="J73" s="28" t="s">
        <v>77</v>
      </c>
      <c r="K73" s="28" t="s">
        <v>139</v>
      </c>
      <c r="L73" s="104">
        <f>1245.6/0.00086/12485.5</f>
        <v>116.00433246752279</v>
      </c>
    </row>
    <row r="74" spans="1:12" ht="12.75">
      <c r="A74" s="96">
        <v>63</v>
      </c>
      <c r="B74" s="29" t="s">
        <v>102</v>
      </c>
      <c r="C74" s="45">
        <f>10756.9+38.9+1226.1+220+1477.5+74.3</f>
        <v>13793.699999999999</v>
      </c>
      <c r="D74" s="28" t="s">
        <v>77</v>
      </c>
      <c r="E74" s="28" t="s">
        <v>62</v>
      </c>
      <c r="F74" s="28" t="s">
        <v>77</v>
      </c>
      <c r="G74" s="28" t="s">
        <v>139</v>
      </c>
      <c r="H74" s="28" t="s">
        <v>77</v>
      </c>
      <c r="I74" s="28" t="s">
        <v>139</v>
      </c>
      <c r="J74" s="28" t="s">
        <v>77</v>
      </c>
      <c r="K74" s="28" t="s">
        <v>139</v>
      </c>
      <c r="L74" s="104">
        <f>1217.704/1.16/0.00086/13793.7</f>
        <v>88.49210294910559</v>
      </c>
    </row>
    <row r="75" spans="1:12" ht="12.75">
      <c r="A75" s="96">
        <v>64</v>
      </c>
      <c r="B75" s="29" t="s">
        <v>101</v>
      </c>
      <c r="C75" s="45">
        <f>3536.3+279+876</f>
        <v>4691.3</v>
      </c>
      <c r="D75" s="28" t="s">
        <v>77</v>
      </c>
      <c r="E75" s="28" t="s">
        <v>139</v>
      </c>
      <c r="F75" s="28" t="s">
        <v>77</v>
      </c>
      <c r="G75" s="28" t="s">
        <v>139</v>
      </c>
      <c r="H75" s="28" t="s">
        <v>77</v>
      </c>
      <c r="I75" s="28" t="s">
        <v>139</v>
      </c>
      <c r="J75" s="28" t="s">
        <v>77</v>
      </c>
      <c r="K75" s="28" t="s">
        <v>139</v>
      </c>
      <c r="L75" s="104">
        <f>1146.87/1.16/0.00086/4691.3</f>
        <v>245.05555173697542</v>
      </c>
    </row>
    <row r="76" spans="1:12" ht="12.75">
      <c r="A76" s="96">
        <v>65</v>
      </c>
      <c r="B76" s="100" t="s">
        <v>123</v>
      </c>
      <c r="C76" s="45">
        <f>4747.4+335+51.8+448.5+32.8</f>
        <v>5615.5</v>
      </c>
      <c r="D76" s="28" t="s">
        <v>77</v>
      </c>
      <c r="E76" s="28" t="s">
        <v>139</v>
      </c>
      <c r="F76" s="28" t="s">
        <v>77</v>
      </c>
      <c r="G76" s="28" t="s">
        <v>139</v>
      </c>
      <c r="H76" s="28" t="s">
        <v>77</v>
      </c>
      <c r="I76" s="28" t="s">
        <v>139</v>
      </c>
      <c r="J76" s="28" t="s">
        <v>77</v>
      </c>
      <c r="K76" s="28" t="s">
        <v>139</v>
      </c>
      <c r="L76" s="104">
        <f>737/1.16/0.00086/5615.5</f>
        <v>131.5596216423825</v>
      </c>
    </row>
    <row r="77" spans="1:12" ht="13.5" thickBot="1">
      <c r="A77" s="96">
        <v>66</v>
      </c>
      <c r="B77" s="108" t="s">
        <v>131</v>
      </c>
      <c r="C77" s="101">
        <f>2559.3+148+146+320</f>
        <v>3173.3</v>
      </c>
      <c r="D77" s="102" t="s">
        <v>77</v>
      </c>
      <c r="E77" s="102" t="s">
        <v>139</v>
      </c>
      <c r="F77" s="102" t="s">
        <v>77</v>
      </c>
      <c r="G77" s="102" t="s">
        <v>139</v>
      </c>
      <c r="H77" s="102" t="s">
        <v>77</v>
      </c>
      <c r="I77" s="102" t="s">
        <v>139</v>
      </c>
      <c r="J77" s="102" t="s">
        <v>77</v>
      </c>
      <c r="K77" s="102" t="s">
        <v>139</v>
      </c>
      <c r="L77" s="105">
        <f>980/1.16/0.00086/3173.3</f>
        <v>309.5697407683208</v>
      </c>
    </row>
    <row r="78" spans="1:12" s="25" customFormat="1" ht="12.75" customHeight="1" thickBot="1">
      <c r="A78" s="241" t="s">
        <v>51</v>
      </c>
      <c r="B78" s="242"/>
      <c r="C78" s="97">
        <f>SUM(C12:C77)</f>
        <v>436691.5000000001</v>
      </c>
      <c r="D78" s="87" t="s">
        <v>79</v>
      </c>
      <c r="E78" s="87" t="s">
        <v>79</v>
      </c>
      <c r="F78" s="87" t="s">
        <v>79</v>
      </c>
      <c r="G78" s="87" t="s">
        <v>79</v>
      </c>
      <c r="H78" s="87" t="s">
        <v>79</v>
      </c>
      <c r="I78" s="87" t="s">
        <v>79</v>
      </c>
      <c r="J78" s="87" t="s">
        <v>79</v>
      </c>
      <c r="K78" s="87" t="s">
        <v>79</v>
      </c>
      <c r="L78" s="84" t="s">
        <v>79</v>
      </c>
    </row>
  </sheetData>
  <sheetProtection/>
  <mergeCells count="20">
    <mergeCell ref="A11:L11"/>
    <mergeCell ref="A78:B78"/>
    <mergeCell ref="A4:L4"/>
    <mergeCell ref="J2:L2"/>
    <mergeCell ref="I8:I9"/>
    <mergeCell ref="J8:J9"/>
    <mergeCell ref="K8:K9"/>
    <mergeCell ref="A6:A9"/>
    <mergeCell ref="B6:B9"/>
    <mergeCell ref="C6:C8"/>
    <mergeCell ref="D6:E7"/>
    <mergeCell ref="F6:G7"/>
    <mergeCell ref="H6:I7"/>
    <mergeCell ref="J6:K7"/>
    <mergeCell ref="L6:L8"/>
    <mergeCell ref="D8:D9"/>
    <mergeCell ref="E8:E9"/>
    <mergeCell ref="F8:F9"/>
    <mergeCell ref="G8:G9"/>
    <mergeCell ref="H8:H9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E1">
      <selection activeCell="B16" sqref="B16"/>
    </sheetView>
  </sheetViews>
  <sheetFormatPr defaultColWidth="9.00390625" defaultRowHeight="12.75"/>
  <cols>
    <col min="1" max="1" width="4.375" style="1" customWidth="1"/>
    <col min="2" max="2" width="41.875" style="2" customWidth="1"/>
    <col min="3" max="3" width="8.75390625" style="3" customWidth="1"/>
    <col min="4" max="4" width="6.75390625" style="3" customWidth="1"/>
    <col min="5" max="5" width="9.75390625" style="3" customWidth="1"/>
    <col min="6" max="7" width="5.00390625" style="3" customWidth="1"/>
    <col min="8" max="8" width="9.75390625" style="4" customWidth="1"/>
    <col min="9" max="10" width="10.375" style="4" customWidth="1"/>
    <col min="11" max="11" width="8.125" style="3" customWidth="1"/>
    <col min="12" max="12" width="7.375" style="5" customWidth="1"/>
    <col min="13" max="13" width="9.75390625" style="6" customWidth="1"/>
    <col min="14" max="17" width="9.75390625" style="5" customWidth="1"/>
    <col min="18" max="18" width="8.00390625" style="15" customWidth="1"/>
    <col min="19" max="19" width="8.375" style="15" customWidth="1"/>
    <col min="20" max="20" width="8.00390625" style="5" customWidth="1"/>
    <col min="21" max="16384" width="9.125" style="5" customWidth="1"/>
  </cols>
  <sheetData>
    <row r="1" spans="1:20" ht="12.75" customHeight="1">
      <c r="A1" s="7"/>
      <c r="B1" s="8"/>
      <c r="C1" s="9"/>
      <c r="D1" s="9"/>
      <c r="E1" s="9"/>
      <c r="F1" s="9"/>
      <c r="G1" s="9"/>
      <c r="H1" s="10"/>
      <c r="I1" s="10"/>
      <c r="J1" s="10"/>
      <c r="K1" s="9"/>
      <c r="L1" s="11"/>
      <c r="M1" s="12"/>
      <c r="N1" s="50"/>
      <c r="O1" s="50"/>
      <c r="P1" s="50"/>
      <c r="Q1" s="50"/>
      <c r="R1" s="50"/>
      <c r="S1" s="50"/>
      <c r="T1" s="50"/>
    </row>
    <row r="2" spans="1:20" ht="12.75" customHeight="1">
      <c r="A2" s="7"/>
      <c r="B2" s="8"/>
      <c r="C2" s="9"/>
      <c r="D2" s="9"/>
      <c r="E2" s="9"/>
      <c r="F2" s="9"/>
      <c r="G2" s="9"/>
      <c r="H2" s="10"/>
      <c r="I2" s="10"/>
      <c r="J2" s="10"/>
      <c r="K2" s="9"/>
      <c r="L2" s="11"/>
      <c r="M2" s="12"/>
      <c r="N2" s="50"/>
      <c r="O2" s="50"/>
      <c r="P2" s="50"/>
      <c r="Q2" s="200" t="s">
        <v>49</v>
      </c>
      <c r="R2" s="200"/>
      <c r="S2" s="200"/>
      <c r="T2" s="200"/>
    </row>
    <row r="3" spans="1:18" ht="12.75" customHeight="1">
      <c r="A3" s="7"/>
      <c r="B3" s="8"/>
      <c r="C3" s="9"/>
      <c r="D3" s="9"/>
      <c r="E3" s="9"/>
      <c r="F3" s="9"/>
      <c r="G3" s="9"/>
      <c r="H3" s="10"/>
      <c r="I3" s="10"/>
      <c r="J3" s="10"/>
      <c r="K3" s="9"/>
      <c r="L3" s="11"/>
      <c r="M3" s="12"/>
      <c r="N3" s="13"/>
      <c r="O3" s="13"/>
      <c r="P3" s="13"/>
      <c r="Q3" s="13"/>
      <c r="R3" s="14"/>
    </row>
    <row r="4" spans="1:20" ht="15.75" customHeight="1">
      <c r="A4" s="198" t="s">
        <v>149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5.7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15.75" customHeight="1" thickBo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</row>
    <row r="7" spans="1:20" ht="12" customHeight="1">
      <c r="A7" s="191" t="s">
        <v>0</v>
      </c>
      <c r="B7" s="194" t="s">
        <v>1</v>
      </c>
      <c r="C7" s="197" t="s">
        <v>2</v>
      </c>
      <c r="D7" s="197"/>
      <c r="E7" s="188" t="s">
        <v>32</v>
      </c>
      <c r="F7" s="188" t="s">
        <v>33</v>
      </c>
      <c r="G7" s="188" t="s">
        <v>34</v>
      </c>
      <c r="H7" s="201" t="s">
        <v>36</v>
      </c>
      <c r="I7" s="249" t="s">
        <v>3</v>
      </c>
      <c r="J7" s="250"/>
      <c r="K7" s="188" t="s">
        <v>21</v>
      </c>
      <c r="L7" s="188" t="s">
        <v>4</v>
      </c>
      <c r="M7" s="197" t="s">
        <v>5</v>
      </c>
      <c r="N7" s="197"/>
      <c r="O7" s="197"/>
      <c r="P7" s="197"/>
      <c r="Q7" s="197"/>
      <c r="R7" s="173" t="s">
        <v>152</v>
      </c>
      <c r="S7" s="173" t="s">
        <v>153</v>
      </c>
      <c r="T7" s="176" t="s">
        <v>6</v>
      </c>
    </row>
    <row r="8" spans="1:20" ht="12.75" customHeight="1">
      <c r="A8" s="192"/>
      <c r="B8" s="195"/>
      <c r="C8" s="179" t="s">
        <v>7</v>
      </c>
      <c r="D8" s="179" t="s">
        <v>35</v>
      </c>
      <c r="E8" s="180"/>
      <c r="F8" s="180"/>
      <c r="G8" s="180"/>
      <c r="H8" s="184"/>
      <c r="I8" s="182" t="s">
        <v>8</v>
      </c>
      <c r="J8" s="183" t="s">
        <v>9</v>
      </c>
      <c r="K8" s="180"/>
      <c r="L8" s="180"/>
      <c r="M8" s="186" t="s">
        <v>10</v>
      </c>
      <c r="N8" s="187" t="s">
        <v>11</v>
      </c>
      <c r="O8" s="187"/>
      <c r="P8" s="187"/>
      <c r="Q8" s="187"/>
      <c r="R8" s="174"/>
      <c r="S8" s="174"/>
      <c r="T8" s="177"/>
    </row>
    <row r="9" spans="1:20" ht="30.75" customHeight="1">
      <c r="A9" s="192"/>
      <c r="B9" s="195"/>
      <c r="C9" s="180"/>
      <c r="D9" s="180"/>
      <c r="E9" s="180"/>
      <c r="F9" s="180"/>
      <c r="G9" s="180"/>
      <c r="H9" s="184"/>
      <c r="I9" s="182"/>
      <c r="J9" s="184"/>
      <c r="K9" s="180"/>
      <c r="L9" s="180"/>
      <c r="M9" s="186"/>
      <c r="N9" s="189" t="s">
        <v>12</v>
      </c>
      <c r="O9" s="189" t="s">
        <v>13</v>
      </c>
      <c r="P9" s="189" t="s">
        <v>14</v>
      </c>
      <c r="Q9" s="189" t="s">
        <v>15</v>
      </c>
      <c r="R9" s="174"/>
      <c r="S9" s="174"/>
      <c r="T9" s="177"/>
    </row>
    <row r="10" spans="1:20" ht="105" customHeight="1">
      <c r="A10" s="192"/>
      <c r="B10" s="195"/>
      <c r="C10" s="180"/>
      <c r="D10" s="180"/>
      <c r="E10" s="180"/>
      <c r="F10" s="180"/>
      <c r="G10" s="180"/>
      <c r="H10" s="185"/>
      <c r="I10" s="182"/>
      <c r="J10" s="185"/>
      <c r="K10" s="190"/>
      <c r="L10" s="180"/>
      <c r="M10" s="186"/>
      <c r="N10" s="189"/>
      <c r="O10" s="189"/>
      <c r="P10" s="189"/>
      <c r="Q10" s="189"/>
      <c r="R10" s="175"/>
      <c r="S10" s="175"/>
      <c r="T10" s="177"/>
    </row>
    <row r="11" spans="1:20" ht="19.5" customHeight="1" thickBot="1">
      <c r="A11" s="193"/>
      <c r="B11" s="196"/>
      <c r="C11" s="181"/>
      <c r="D11" s="181"/>
      <c r="E11" s="181"/>
      <c r="F11" s="181"/>
      <c r="G11" s="181"/>
      <c r="H11" s="52" t="s">
        <v>44</v>
      </c>
      <c r="I11" s="52" t="s">
        <v>44</v>
      </c>
      <c r="J11" s="52" t="s">
        <v>44</v>
      </c>
      <c r="K11" s="51" t="s">
        <v>16</v>
      </c>
      <c r="L11" s="181"/>
      <c r="M11" s="18" t="s">
        <v>17</v>
      </c>
      <c r="N11" s="19" t="s">
        <v>17</v>
      </c>
      <c r="O11" s="19" t="s">
        <v>17</v>
      </c>
      <c r="P11" s="19" t="s">
        <v>17</v>
      </c>
      <c r="Q11" s="19" t="s">
        <v>17</v>
      </c>
      <c r="R11" s="18" t="s">
        <v>50</v>
      </c>
      <c r="S11" s="18" t="s">
        <v>50</v>
      </c>
      <c r="T11" s="178"/>
    </row>
    <row r="12" spans="1:20" ht="12.75" thickBot="1">
      <c r="A12" s="16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20">
        <v>8</v>
      </c>
      <c r="I12" s="20">
        <v>9</v>
      </c>
      <c r="J12" s="20">
        <v>10</v>
      </c>
      <c r="K12" s="17">
        <v>11</v>
      </c>
      <c r="L12" s="21">
        <v>12</v>
      </c>
      <c r="M12" s="22">
        <v>13</v>
      </c>
      <c r="N12" s="17">
        <v>14</v>
      </c>
      <c r="O12" s="17">
        <v>15</v>
      </c>
      <c r="P12" s="17">
        <v>16</v>
      </c>
      <c r="Q12" s="17">
        <v>17</v>
      </c>
      <c r="R12" s="23">
        <v>18</v>
      </c>
      <c r="S12" s="23">
        <v>19</v>
      </c>
      <c r="T12" s="24">
        <v>20</v>
      </c>
    </row>
    <row r="13" spans="1:20" s="25" customFormat="1" ht="12.75" customHeight="1" thickBot="1">
      <c r="A13" s="170" t="s">
        <v>18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11" customFormat="1" ht="12.75" customHeight="1">
      <c r="A14" s="88">
        <v>1</v>
      </c>
      <c r="B14" s="76" t="s">
        <v>142</v>
      </c>
      <c r="C14" s="57">
        <v>1962</v>
      </c>
      <c r="D14" s="57" t="s">
        <v>148</v>
      </c>
      <c r="E14" s="77" t="s">
        <v>82</v>
      </c>
      <c r="F14" s="57">
        <v>5</v>
      </c>
      <c r="G14" s="57">
        <v>3</v>
      </c>
      <c r="H14" s="59">
        <v>3656.3</v>
      </c>
      <c r="I14" s="59">
        <v>2947.5</v>
      </c>
      <c r="J14" s="59">
        <v>2215.8</v>
      </c>
      <c r="K14" s="57">
        <v>129</v>
      </c>
      <c r="L14" s="153" t="s">
        <v>147</v>
      </c>
      <c r="M14" s="48">
        <v>1062976</v>
      </c>
      <c r="N14" s="154">
        <v>735557</v>
      </c>
      <c r="O14" s="154">
        <v>137135</v>
      </c>
      <c r="P14" s="154">
        <v>137135</v>
      </c>
      <c r="Q14" s="154">
        <v>53149</v>
      </c>
      <c r="R14" s="59">
        <f>M14/I14</f>
        <v>360.6364715860899</v>
      </c>
      <c r="S14" s="59">
        <v>4359.37</v>
      </c>
      <c r="T14" s="150" t="s">
        <v>158</v>
      </c>
    </row>
    <row r="15" spans="1:21" ht="12.75" customHeight="1">
      <c r="A15" s="60">
        <f>A14+1</f>
        <v>2</v>
      </c>
      <c r="B15" s="76" t="s">
        <v>141</v>
      </c>
      <c r="C15" s="57">
        <v>1962</v>
      </c>
      <c r="D15" s="57" t="s">
        <v>148</v>
      </c>
      <c r="E15" s="77" t="s">
        <v>82</v>
      </c>
      <c r="F15" s="57">
        <v>5</v>
      </c>
      <c r="G15" s="57">
        <v>4</v>
      </c>
      <c r="H15" s="59">
        <v>3892</v>
      </c>
      <c r="I15" s="59">
        <v>3096.4</v>
      </c>
      <c r="J15" s="59">
        <v>2849.5</v>
      </c>
      <c r="K15" s="57">
        <v>119</v>
      </c>
      <c r="L15" s="152" t="s">
        <v>147</v>
      </c>
      <c r="M15" s="48">
        <v>1128730</v>
      </c>
      <c r="N15" s="94">
        <v>781059</v>
      </c>
      <c r="O15" s="94">
        <v>145617</v>
      </c>
      <c r="P15" s="94">
        <v>145617</v>
      </c>
      <c r="Q15" s="94">
        <v>56437</v>
      </c>
      <c r="R15" s="59">
        <f>M15/I15</f>
        <v>364.52977651466216</v>
      </c>
      <c r="S15" s="59">
        <v>4359.37</v>
      </c>
      <c r="T15" s="150" t="s">
        <v>158</v>
      </c>
      <c r="U15" s="11"/>
    </row>
    <row r="16" spans="1:21" ht="12.75" customHeight="1">
      <c r="A16" s="60">
        <f>A15+1</f>
        <v>3</v>
      </c>
      <c r="B16" s="29" t="s">
        <v>144</v>
      </c>
      <c r="C16" s="26">
        <v>1977</v>
      </c>
      <c r="D16" s="57" t="s">
        <v>148</v>
      </c>
      <c r="E16" s="77" t="s">
        <v>82</v>
      </c>
      <c r="F16" s="26">
        <v>9</v>
      </c>
      <c r="G16" s="26">
        <v>1</v>
      </c>
      <c r="H16" s="45">
        <f>2150.2+418.1+119.3+141.7+501</f>
        <v>3330.2999999999997</v>
      </c>
      <c r="I16" s="45">
        <f>2150.2+418.1</f>
        <v>2568.2999999999997</v>
      </c>
      <c r="J16" s="45">
        <v>2150.2</v>
      </c>
      <c r="K16" s="26">
        <v>70</v>
      </c>
      <c r="L16" s="152" t="s">
        <v>147</v>
      </c>
      <c r="M16" s="28">
        <v>1953300</v>
      </c>
      <c r="N16" s="94">
        <v>1351645</v>
      </c>
      <c r="O16" s="94">
        <v>251995</v>
      </c>
      <c r="P16" s="94">
        <v>251995</v>
      </c>
      <c r="Q16" s="94">
        <v>97665</v>
      </c>
      <c r="R16" s="59">
        <f>M16/I16</f>
        <v>760.5419927578555</v>
      </c>
      <c r="S16" s="59">
        <v>4359.37</v>
      </c>
      <c r="T16" s="150" t="s">
        <v>158</v>
      </c>
      <c r="U16" s="11"/>
    </row>
    <row r="17" spans="1:21" ht="12.75" customHeight="1">
      <c r="A17" s="60">
        <f>A16+1</f>
        <v>4</v>
      </c>
      <c r="B17" s="29" t="s">
        <v>143</v>
      </c>
      <c r="C17" s="26">
        <v>1969</v>
      </c>
      <c r="D17" s="57" t="s">
        <v>148</v>
      </c>
      <c r="E17" s="77" t="s">
        <v>82</v>
      </c>
      <c r="F17" s="26">
        <v>5</v>
      </c>
      <c r="G17" s="26">
        <v>6</v>
      </c>
      <c r="H17" s="45">
        <v>5821.7</v>
      </c>
      <c r="I17" s="45">
        <v>4487.6</v>
      </c>
      <c r="J17" s="45">
        <v>3919.7</v>
      </c>
      <c r="K17" s="26">
        <v>223</v>
      </c>
      <c r="L17" s="152" t="s">
        <v>147</v>
      </c>
      <c r="M17" s="28">
        <v>975799</v>
      </c>
      <c r="N17" s="94">
        <v>675233</v>
      </c>
      <c r="O17" s="94">
        <v>125888</v>
      </c>
      <c r="P17" s="94">
        <v>125888</v>
      </c>
      <c r="Q17" s="94">
        <v>48790</v>
      </c>
      <c r="R17" s="59">
        <f>M17/I17</f>
        <v>217.44339958998125</v>
      </c>
      <c r="S17" s="59">
        <v>4359.37</v>
      </c>
      <c r="T17" s="150" t="s">
        <v>158</v>
      </c>
      <c r="U17" s="11"/>
    </row>
    <row r="18" spans="1:21" ht="12.75" customHeight="1" thickBot="1">
      <c r="A18" s="155">
        <f>A17+1</f>
        <v>5</v>
      </c>
      <c r="B18" s="117" t="s">
        <v>146</v>
      </c>
      <c r="C18" s="109">
        <v>1984</v>
      </c>
      <c r="D18" s="118" t="s">
        <v>148</v>
      </c>
      <c r="E18" s="156" t="s">
        <v>82</v>
      </c>
      <c r="F18" s="109">
        <v>9</v>
      </c>
      <c r="G18" s="109">
        <v>5</v>
      </c>
      <c r="H18" s="101">
        <f>9519.6+780+1161.8+994.2+2068.4</f>
        <v>14524</v>
      </c>
      <c r="I18" s="101">
        <f>9519.6+780</f>
        <v>10299.6</v>
      </c>
      <c r="J18" s="101">
        <v>7683.9</v>
      </c>
      <c r="K18" s="109">
        <v>420</v>
      </c>
      <c r="L18" s="157" t="s">
        <v>147</v>
      </c>
      <c r="M18" s="102">
        <v>1427068</v>
      </c>
      <c r="N18" s="158">
        <v>987502</v>
      </c>
      <c r="O18" s="158">
        <v>184106</v>
      </c>
      <c r="P18" s="158">
        <v>184106</v>
      </c>
      <c r="Q18" s="158">
        <v>71354</v>
      </c>
      <c r="R18" s="159">
        <f>M18/I18</f>
        <v>138.55567206493456</v>
      </c>
      <c r="S18" s="159">
        <v>4359.37</v>
      </c>
      <c r="T18" s="160" t="s">
        <v>158</v>
      </c>
      <c r="U18" s="11"/>
    </row>
    <row r="19" spans="1:20" s="25" customFormat="1" ht="12.75" customHeight="1" thickBot="1">
      <c r="A19" s="214" t="s">
        <v>51</v>
      </c>
      <c r="B19" s="215"/>
      <c r="C19" s="151" t="s">
        <v>19</v>
      </c>
      <c r="D19" s="151" t="s">
        <v>19</v>
      </c>
      <c r="E19" s="151" t="s">
        <v>19</v>
      </c>
      <c r="F19" s="151" t="s">
        <v>19</v>
      </c>
      <c r="G19" s="151" t="s">
        <v>19</v>
      </c>
      <c r="H19" s="162">
        <f>SUM(H14:H18)</f>
        <v>31224.3</v>
      </c>
      <c r="I19" s="162">
        <f>SUM(I14:I18)</f>
        <v>23399.4</v>
      </c>
      <c r="J19" s="162">
        <f>SUM(J14:J18)</f>
        <v>18819.1</v>
      </c>
      <c r="K19" s="128">
        <f>SUM(K14:K18)</f>
        <v>961</v>
      </c>
      <c r="L19" s="151" t="s">
        <v>19</v>
      </c>
      <c r="M19" s="49">
        <f>SUM(M14:M18)</f>
        <v>6547873</v>
      </c>
      <c r="N19" s="49">
        <f>SUM(N14:N18)</f>
        <v>4530996</v>
      </c>
      <c r="O19" s="49">
        <f>SUM(O14:O18)</f>
        <v>844741</v>
      </c>
      <c r="P19" s="49">
        <f>SUM(P14:P18)</f>
        <v>844741</v>
      </c>
      <c r="Q19" s="49">
        <f>SUM(Q14:Q18)</f>
        <v>327395</v>
      </c>
      <c r="R19" s="49" t="s">
        <v>79</v>
      </c>
      <c r="S19" s="49" t="s">
        <v>79</v>
      </c>
      <c r="T19" s="84" t="s">
        <v>79</v>
      </c>
    </row>
    <row r="20" spans="13:18" ht="12">
      <c r="M20" s="12"/>
      <c r="N20" s="11"/>
      <c r="O20" s="11"/>
      <c r="P20" s="11"/>
      <c r="Q20" s="11"/>
      <c r="R20" s="30"/>
    </row>
    <row r="21" spans="13:18" ht="12">
      <c r="M21" s="12"/>
      <c r="N21" s="11"/>
      <c r="O21" s="11"/>
      <c r="P21" s="11"/>
      <c r="Q21" s="11"/>
      <c r="R21" s="30"/>
    </row>
    <row r="22" spans="13:17" ht="12">
      <c r="M22" s="15"/>
      <c r="N22" s="15"/>
      <c r="O22" s="15"/>
      <c r="P22" s="15"/>
      <c r="Q22" s="15"/>
    </row>
    <row r="27" spans="14:17" ht="12">
      <c r="N27" s="47"/>
      <c r="O27" s="47"/>
      <c r="P27" s="47"/>
      <c r="Q27" s="47"/>
    </row>
    <row r="29" spans="14:17" ht="12">
      <c r="N29" s="6"/>
      <c r="O29" s="6"/>
      <c r="P29" s="6"/>
      <c r="Q29" s="6"/>
    </row>
  </sheetData>
  <sheetProtection/>
  <mergeCells count="28">
    <mergeCell ref="Q2:T2"/>
    <mergeCell ref="A4:T6"/>
    <mergeCell ref="G7:G11"/>
    <mergeCell ref="H7:H10"/>
    <mergeCell ref="I7:J7"/>
    <mergeCell ref="R7:R10"/>
    <mergeCell ref="P9:P10"/>
    <mergeCell ref="Q9:Q10"/>
    <mergeCell ref="L7:L11"/>
    <mergeCell ref="M7:Q7"/>
    <mergeCell ref="F7:F11"/>
    <mergeCell ref="N9:N10"/>
    <mergeCell ref="O9:O10"/>
    <mergeCell ref="K7:K10"/>
    <mergeCell ref="A7:A11"/>
    <mergeCell ref="B7:B11"/>
    <mergeCell ref="C7:D7"/>
    <mergeCell ref="E7:E11"/>
    <mergeCell ref="A13:T13"/>
    <mergeCell ref="A19:B19"/>
    <mergeCell ref="S7:S10"/>
    <mergeCell ref="T7:T11"/>
    <mergeCell ref="C8:C11"/>
    <mergeCell ref="D8:D11"/>
    <mergeCell ref="I8:I10"/>
    <mergeCell ref="J8:J10"/>
    <mergeCell ref="M8:M10"/>
    <mergeCell ref="N8:Q8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3.75390625" style="1" customWidth="1"/>
    <col min="2" max="2" width="40.375" style="2" customWidth="1"/>
    <col min="3" max="3" width="10.75390625" style="5" customWidth="1"/>
    <col min="4" max="16" width="9.25390625" style="5" customWidth="1"/>
    <col min="17" max="16384" width="9.125" style="5" customWidth="1"/>
  </cols>
  <sheetData>
    <row r="1" spans="6:12" ht="12">
      <c r="F1" s="50"/>
      <c r="G1" s="50"/>
      <c r="H1" s="50"/>
      <c r="I1" s="50"/>
      <c r="J1" s="50"/>
      <c r="K1" s="50"/>
      <c r="L1" s="50"/>
    </row>
    <row r="2" spans="1:16" s="56" customFormat="1" ht="12.75" customHeight="1">
      <c r="A2" s="55"/>
      <c r="B2" s="55"/>
      <c r="F2" s="54"/>
      <c r="G2" s="54"/>
      <c r="H2" s="54"/>
      <c r="I2" s="54"/>
      <c r="M2" s="50"/>
      <c r="N2" s="200" t="s">
        <v>151</v>
      </c>
      <c r="O2" s="200"/>
      <c r="P2" s="200"/>
    </row>
    <row r="3" ht="12.75" customHeight="1"/>
    <row r="4" spans="1:16" ht="12.75" customHeight="1">
      <c r="A4" s="198" t="s">
        <v>31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2.7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2" ht="15.75" customHeight="1" thickBot="1">
      <c r="A6" s="5"/>
      <c r="B6" s="5"/>
    </row>
    <row r="7" spans="1:16" ht="12.75" customHeight="1">
      <c r="A7" s="191" t="s">
        <v>0</v>
      </c>
      <c r="B7" s="194" t="s">
        <v>1</v>
      </c>
      <c r="C7" s="173" t="s">
        <v>42</v>
      </c>
      <c r="D7" s="173" t="s">
        <v>43</v>
      </c>
      <c r="E7" s="173" t="s">
        <v>52</v>
      </c>
      <c r="F7" s="216" t="s">
        <v>45</v>
      </c>
      <c r="G7" s="217"/>
      <c r="H7" s="216" t="s">
        <v>46</v>
      </c>
      <c r="I7" s="217"/>
      <c r="J7" s="216" t="s">
        <v>47</v>
      </c>
      <c r="K7" s="217"/>
      <c r="L7" s="216" t="s">
        <v>48</v>
      </c>
      <c r="M7" s="228"/>
      <c r="N7" s="231" t="s">
        <v>54</v>
      </c>
      <c r="O7" s="231"/>
      <c r="P7" s="233" t="s">
        <v>53</v>
      </c>
    </row>
    <row r="8" spans="1:16" ht="12.75" customHeight="1">
      <c r="A8" s="192"/>
      <c r="B8" s="195"/>
      <c r="C8" s="174"/>
      <c r="D8" s="174"/>
      <c r="E8" s="174"/>
      <c r="F8" s="218"/>
      <c r="G8" s="219"/>
      <c r="H8" s="218"/>
      <c r="I8" s="219"/>
      <c r="J8" s="218"/>
      <c r="K8" s="219"/>
      <c r="L8" s="218"/>
      <c r="M8" s="229"/>
      <c r="N8" s="232"/>
      <c r="O8" s="232"/>
      <c r="P8" s="234"/>
    </row>
    <row r="9" spans="1:16" ht="30.75" customHeight="1">
      <c r="A9" s="192"/>
      <c r="B9" s="195"/>
      <c r="C9" s="174"/>
      <c r="D9" s="174"/>
      <c r="E9" s="174"/>
      <c r="F9" s="218"/>
      <c r="G9" s="219"/>
      <c r="H9" s="218"/>
      <c r="I9" s="219"/>
      <c r="J9" s="218"/>
      <c r="K9" s="219"/>
      <c r="L9" s="218"/>
      <c r="M9" s="229"/>
      <c r="N9" s="232"/>
      <c r="O9" s="232"/>
      <c r="P9" s="234"/>
    </row>
    <row r="10" spans="1:16" ht="105" customHeight="1">
      <c r="A10" s="192"/>
      <c r="B10" s="195"/>
      <c r="C10" s="175"/>
      <c r="D10" s="175"/>
      <c r="E10" s="175"/>
      <c r="F10" s="220"/>
      <c r="G10" s="221"/>
      <c r="H10" s="220"/>
      <c r="I10" s="221"/>
      <c r="J10" s="220"/>
      <c r="K10" s="221"/>
      <c r="L10" s="220"/>
      <c r="M10" s="230"/>
      <c r="N10" s="232"/>
      <c r="O10" s="232"/>
      <c r="P10" s="234"/>
    </row>
    <row r="11" spans="1:16" ht="19.5" customHeight="1" thickBot="1">
      <c r="A11" s="193"/>
      <c r="B11" s="196"/>
      <c r="C11" s="67" t="s">
        <v>44</v>
      </c>
      <c r="D11" s="67" t="s">
        <v>17</v>
      </c>
      <c r="E11" s="67" t="s">
        <v>17</v>
      </c>
      <c r="F11" s="67" t="s">
        <v>44</v>
      </c>
      <c r="G11" s="67" t="s">
        <v>17</v>
      </c>
      <c r="H11" s="51" t="s">
        <v>28</v>
      </c>
      <c r="I11" s="67" t="s">
        <v>17</v>
      </c>
      <c r="J11" s="67" t="s">
        <v>44</v>
      </c>
      <c r="K11" s="67" t="s">
        <v>17</v>
      </c>
      <c r="L11" s="67" t="s">
        <v>44</v>
      </c>
      <c r="M11" s="68" t="s">
        <v>17</v>
      </c>
      <c r="N11" s="69" t="s">
        <v>55</v>
      </c>
      <c r="O11" s="69" t="s">
        <v>17</v>
      </c>
      <c r="P11" s="70" t="s">
        <v>17</v>
      </c>
    </row>
    <row r="12" spans="1:16" s="37" customFormat="1" ht="13.5" thickBot="1">
      <c r="A12" s="61">
        <v>1</v>
      </c>
      <c r="B12" s="62">
        <v>2</v>
      </c>
      <c r="C12" s="62">
        <v>3</v>
      </c>
      <c r="D12" s="62">
        <v>4</v>
      </c>
      <c r="E12" s="62">
        <v>5</v>
      </c>
      <c r="F12" s="62">
        <v>6</v>
      </c>
      <c r="G12" s="62">
        <v>7</v>
      </c>
      <c r="H12" s="62">
        <v>8</v>
      </c>
      <c r="I12" s="62">
        <v>9</v>
      </c>
      <c r="J12" s="62">
        <v>10</v>
      </c>
      <c r="K12" s="62">
        <v>11</v>
      </c>
      <c r="L12" s="62">
        <v>12</v>
      </c>
      <c r="M12" s="63">
        <v>13</v>
      </c>
      <c r="N12" s="64">
        <v>14</v>
      </c>
      <c r="O12" s="64">
        <v>15</v>
      </c>
      <c r="P12" s="65">
        <v>16</v>
      </c>
    </row>
    <row r="13" spans="1:16" s="25" customFormat="1" ht="12.75" customHeight="1" thickBot="1">
      <c r="A13" s="222" t="s">
        <v>18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4"/>
    </row>
    <row r="14" spans="1:16" s="11" customFormat="1" ht="12.75" customHeight="1">
      <c r="A14" s="89">
        <v>1</v>
      </c>
      <c r="B14" s="76" t="s">
        <v>142</v>
      </c>
      <c r="C14" s="48">
        <f>D14+E14+G14+I14+K14+M14+O14+P14</f>
        <v>1062976</v>
      </c>
      <c r="D14" s="48"/>
      <c r="E14" s="48"/>
      <c r="F14" s="59">
        <v>872</v>
      </c>
      <c r="G14" s="48">
        <v>1062976</v>
      </c>
      <c r="H14" s="48"/>
      <c r="I14" s="59"/>
      <c r="J14" s="48"/>
      <c r="K14" s="59"/>
      <c r="L14" s="48"/>
      <c r="M14" s="90"/>
      <c r="N14" s="90"/>
      <c r="O14" s="90"/>
      <c r="P14" s="91"/>
    </row>
    <row r="15" spans="1:16" ht="12.75" customHeight="1">
      <c r="A15" s="46">
        <f>A14+1</f>
        <v>2</v>
      </c>
      <c r="B15" s="76" t="s">
        <v>141</v>
      </c>
      <c r="C15" s="48">
        <f>D15+E15+G15+I15+K15+M15+O15+P15</f>
        <v>1128730</v>
      </c>
      <c r="D15" s="48"/>
      <c r="E15" s="48"/>
      <c r="F15" s="59">
        <v>983</v>
      </c>
      <c r="G15" s="48">
        <v>1128730</v>
      </c>
      <c r="H15" s="28"/>
      <c r="I15" s="45"/>
      <c r="J15" s="28"/>
      <c r="K15" s="45"/>
      <c r="L15" s="28"/>
      <c r="M15" s="27"/>
      <c r="N15" s="27"/>
      <c r="O15" s="27"/>
      <c r="P15" s="74"/>
    </row>
    <row r="16" spans="1:16" ht="12.75" customHeight="1">
      <c r="A16" s="46">
        <f>A15+1</f>
        <v>3</v>
      </c>
      <c r="B16" s="29" t="s">
        <v>144</v>
      </c>
      <c r="C16" s="48">
        <f>D16+E16+G16+I16+K16+M16+O16+P16</f>
        <v>1953300</v>
      </c>
      <c r="D16" s="28"/>
      <c r="E16" s="28"/>
      <c r="F16" s="45"/>
      <c r="G16" s="28"/>
      <c r="H16" s="26"/>
      <c r="I16" s="28"/>
      <c r="J16" s="45"/>
      <c r="K16" s="28"/>
      <c r="L16" s="45">
        <v>2120</v>
      </c>
      <c r="M16" s="28">
        <v>1953300</v>
      </c>
      <c r="N16" s="27"/>
      <c r="O16" s="27"/>
      <c r="P16" s="74"/>
    </row>
    <row r="17" spans="1:16" ht="12.75" customHeight="1">
      <c r="A17" s="46">
        <f>A16+1</f>
        <v>4</v>
      </c>
      <c r="B17" s="29" t="s">
        <v>143</v>
      </c>
      <c r="C17" s="48">
        <f>D17+E17+G17+I17+K17+M17+O17+P17</f>
        <v>975799</v>
      </c>
      <c r="D17" s="28"/>
      <c r="E17" s="28"/>
      <c r="F17" s="45">
        <v>1240</v>
      </c>
      <c r="G17" s="28">
        <v>975799</v>
      </c>
      <c r="H17" s="28"/>
      <c r="I17" s="45"/>
      <c r="J17" s="28"/>
      <c r="K17" s="45"/>
      <c r="L17" s="28"/>
      <c r="M17" s="27"/>
      <c r="N17" s="27"/>
      <c r="O17" s="27"/>
      <c r="P17" s="74"/>
    </row>
    <row r="18" spans="1:16" ht="12.75" customHeight="1" thickBot="1">
      <c r="A18" s="46">
        <f>A17+1</f>
        <v>5</v>
      </c>
      <c r="B18" s="71" t="s">
        <v>146</v>
      </c>
      <c r="C18" s="48">
        <f>D18+E18+G18+I18+K18+M18+O18+P18</f>
        <v>1427068</v>
      </c>
      <c r="D18" s="28"/>
      <c r="E18" s="28"/>
      <c r="F18" s="45">
        <v>1675</v>
      </c>
      <c r="G18" s="28">
        <v>1427068</v>
      </c>
      <c r="H18" s="26"/>
      <c r="I18" s="28"/>
      <c r="J18" s="45"/>
      <c r="K18" s="28"/>
      <c r="L18" s="45"/>
      <c r="M18" s="28"/>
      <c r="N18" s="28"/>
      <c r="O18" s="28"/>
      <c r="P18" s="93"/>
    </row>
    <row r="19" spans="1:16" ht="25.5" customHeight="1" thickBot="1">
      <c r="A19" s="170" t="s">
        <v>51</v>
      </c>
      <c r="B19" s="171"/>
      <c r="C19" s="44">
        <f aca="true" t="shared" si="0" ref="C19:P19">SUM(C14:C18)</f>
        <v>6547873</v>
      </c>
      <c r="D19" s="44">
        <f t="shared" si="0"/>
        <v>0</v>
      </c>
      <c r="E19" s="44">
        <f t="shared" si="0"/>
        <v>0</v>
      </c>
      <c r="F19" s="72">
        <f t="shared" si="0"/>
        <v>4770</v>
      </c>
      <c r="G19" s="44">
        <f t="shared" si="0"/>
        <v>4594573</v>
      </c>
      <c r="H19" s="44">
        <f t="shared" si="0"/>
        <v>0</v>
      </c>
      <c r="I19" s="44">
        <f t="shared" si="0"/>
        <v>0</v>
      </c>
      <c r="J19" s="72">
        <f t="shared" si="0"/>
        <v>0</v>
      </c>
      <c r="K19" s="44">
        <f t="shared" si="0"/>
        <v>0</v>
      </c>
      <c r="L19" s="75">
        <f t="shared" si="0"/>
        <v>2120</v>
      </c>
      <c r="M19" s="73">
        <f t="shared" si="0"/>
        <v>1953300</v>
      </c>
      <c r="N19" s="75">
        <f t="shared" si="0"/>
        <v>0</v>
      </c>
      <c r="O19" s="73">
        <f t="shared" si="0"/>
        <v>0</v>
      </c>
      <c r="P19" s="73">
        <f t="shared" si="0"/>
        <v>0</v>
      </c>
    </row>
    <row r="21" ht="12">
      <c r="E21" s="6"/>
    </row>
    <row r="24" ht="12">
      <c r="D24" s="6"/>
    </row>
  </sheetData>
  <sheetProtection/>
  <mergeCells count="15">
    <mergeCell ref="F7:G10"/>
    <mergeCell ref="H7:I10"/>
    <mergeCell ref="J7:K10"/>
    <mergeCell ref="A7:A11"/>
    <mergeCell ref="B7:B11"/>
    <mergeCell ref="N2:P2"/>
    <mergeCell ref="A19:B19"/>
    <mergeCell ref="C7:C10"/>
    <mergeCell ref="D7:D10"/>
    <mergeCell ref="L7:M10"/>
    <mergeCell ref="A4:P5"/>
    <mergeCell ref="N7:O10"/>
    <mergeCell ref="P7:P10"/>
    <mergeCell ref="A13:P13"/>
    <mergeCell ref="E7:E10"/>
  </mergeCells>
  <printOptions/>
  <pageMargins left="0" right="0" top="1.1811023622047245" bottom="0.3937007874015748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</dc:creator>
  <cp:keywords/>
  <dc:description/>
  <cp:lastModifiedBy>Aravina</cp:lastModifiedBy>
  <cp:lastPrinted>2011-05-20T05:28:23Z</cp:lastPrinted>
  <dcterms:created xsi:type="dcterms:W3CDTF">2010-05-21T10:17:28Z</dcterms:created>
  <dcterms:modified xsi:type="dcterms:W3CDTF">2011-05-20T05:30:42Z</dcterms:modified>
  <cp:category/>
  <cp:version/>
  <cp:contentType/>
  <cp:contentStatus/>
</cp:coreProperties>
</file>