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45" firstSheet="49" activeTab="58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  <sheet name="Лот 8" sheetId="8" r:id="rId8"/>
    <sheet name="Лот 9" sheetId="9" r:id="rId9"/>
    <sheet name="Лот 10" sheetId="10" r:id="rId10"/>
    <sheet name="Лот 11" sheetId="11" r:id="rId11"/>
    <sheet name="Лот 12" sheetId="12" r:id="rId12"/>
    <sheet name="Лот 13" sheetId="13" r:id="rId13"/>
    <sheet name="Лот 14" sheetId="14" r:id="rId14"/>
    <sheet name="лот 15" sheetId="15" r:id="rId15"/>
    <sheet name="Лот 16" sheetId="16" r:id="rId16"/>
    <sheet name="Лот 17" sheetId="17" r:id="rId17"/>
    <sheet name="Лот 18" sheetId="18" r:id="rId18"/>
    <sheet name="Лот 19" sheetId="19" r:id="rId19"/>
    <sheet name="Лот 20" sheetId="20" r:id="rId20"/>
    <sheet name="Лот 21" sheetId="21" r:id="rId21"/>
    <sheet name="Лот 22" sheetId="22" r:id="rId22"/>
    <sheet name="Лот 23" sheetId="23" r:id="rId23"/>
    <sheet name="Лот 24" sheetId="24" r:id="rId24"/>
    <sheet name="Лот 25" sheetId="25" r:id="rId25"/>
    <sheet name="Лот 26" sheetId="26" r:id="rId26"/>
    <sheet name="Лот 27" sheetId="27" r:id="rId27"/>
    <sheet name="лот 28" sheetId="28" r:id="rId28"/>
    <sheet name="лот 29" sheetId="29" r:id="rId29"/>
    <sheet name="лот 30" sheetId="30" r:id="rId30"/>
    <sheet name="лот 31" sheetId="31" r:id="rId31"/>
    <sheet name="лот 32" sheetId="32" r:id="rId32"/>
    <sheet name="лот 33" sheetId="33" r:id="rId33"/>
    <sheet name="лот 34" sheetId="34" r:id="rId34"/>
    <sheet name="лот 35" sheetId="35" r:id="rId35"/>
    <sheet name="лот 36" sheetId="36" r:id="rId36"/>
    <sheet name="лот 37" sheetId="37" r:id="rId37"/>
    <sheet name="Лот 38" sheetId="38" r:id="rId38"/>
    <sheet name="Лот 39" sheetId="39" r:id="rId39"/>
    <sheet name="Лот 40" sheetId="40" r:id="rId40"/>
    <sheet name="Лот 41" sheetId="41" r:id="rId41"/>
    <sheet name="Лот 42" sheetId="42" r:id="rId42"/>
    <sheet name="Лот 43" sheetId="43" r:id="rId43"/>
    <sheet name="Лот 44" sheetId="44" r:id="rId44"/>
    <sheet name="Лот 45" sheetId="45" r:id="rId45"/>
    <sheet name="Лот 46" sheetId="46" r:id="rId46"/>
    <sheet name="Лот 47" sheetId="47" r:id="rId47"/>
    <sheet name="Лот 48" sheetId="48" r:id="rId48"/>
    <sheet name="Лот 49" sheetId="49" r:id="rId49"/>
    <sheet name="Лот 50" sheetId="50" r:id="rId50"/>
    <sheet name="лот 51" sheetId="51" r:id="rId51"/>
    <sheet name="лот 52" sheetId="52" r:id="rId52"/>
    <sheet name="Лот 53" sheetId="53" r:id="rId53"/>
    <sheet name="Лот 54" sheetId="54" r:id="rId54"/>
    <sheet name="Лот 55" sheetId="55" r:id="rId55"/>
    <sheet name="лот 56" sheetId="56" r:id="rId56"/>
    <sheet name="лот 57" sheetId="57" r:id="rId57"/>
    <sheet name="Лот 58" sheetId="58" r:id="rId58"/>
    <sheet name="Лот 59" sheetId="59" r:id="rId59"/>
    <sheet name="Лот 60" sheetId="60" r:id="rId60"/>
    <sheet name="Лот 61" sheetId="61" r:id="rId61"/>
    <sheet name="Лот 62" sheetId="62" r:id="rId62"/>
    <sheet name="Лот 63" sheetId="63" r:id="rId63"/>
    <sheet name="Лот 64" sheetId="64" r:id="rId64"/>
    <sheet name="Лот 65" sheetId="65" r:id="rId65"/>
    <sheet name="Лот 66" sheetId="66" r:id="rId66"/>
    <sheet name="Лот 67" sheetId="67" r:id="rId67"/>
    <sheet name="Лот 68" sheetId="68" r:id="rId68"/>
    <sheet name="Лот 69" sheetId="69" r:id="rId69"/>
    <sheet name="Лот 70" sheetId="70" r:id="rId70"/>
    <sheet name="Лот 71" sheetId="71" r:id="rId71"/>
    <sheet name="Лот 72" sheetId="72" r:id="rId72"/>
    <sheet name="Лот 73" sheetId="73" r:id="rId73"/>
    <sheet name="Лот 74" sheetId="74" r:id="rId74"/>
    <sheet name="Лот 75" sheetId="75" r:id="rId75"/>
    <sheet name="Лот 76" sheetId="76" r:id="rId76"/>
    <sheet name="Лот 77" sheetId="77" r:id="rId77"/>
    <sheet name="Лот 78" sheetId="78" r:id="rId78"/>
    <sheet name="Лот 79" sheetId="79" r:id="rId79"/>
    <sheet name="Лот 80" sheetId="80" r:id="rId80"/>
    <sheet name="Лот 81" sheetId="81" r:id="rId81"/>
    <sheet name="Лот 82" sheetId="82" r:id="rId82"/>
    <sheet name="Лот 83" sheetId="83" r:id="rId83"/>
    <sheet name="Лот 84" sheetId="84" r:id="rId84"/>
    <sheet name="Лот 85" sheetId="85" r:id="rId85"/>
    <sheet name="Лот 86" sheetId="86" r:id="rId86"/>
    <sheet name="Лот 87" sheetId="87" r:id="rId87"/>
    <sheet name="Лот 88" sheetId="88" r:id="rId88"/>
    <sheet name="Лот 89" sheetId="89" r:id="rId89"/>
    <sheet name="лот 90" sheetId="90" r:id="rId90"/>
    <sheet name="лот 91" sheetId="91" r:id="rId91"/>
    <sheet name="лот 92" sheetId="92" r:id="rId92"/>
    <sheet name="лот 93" sheetId="93" r:id="rId93"/>
    <sheet name="лот 94" sheetId="94" r:id="rId94"/>
    <sheet name="лот 95" sheetId="95" r:id="rId95"/>
    <sheet name="лот 96" sheetId="96" r:id="rId96"/>
    <sheet name="лот 97" sheetId="97" r:id="rId97"/>
    <sheet name="лот 98" sheetId="98" r:id="rId98"/>
  </sheets>
  <definedNames/>
  <calcPr fullCalcOnLoad="1"/>
</workbook>
</file>

<file path=xl/sharedStrings.xml><?xml version="1.0" encoding="utf-8"?>
<sst xmlns="http://schemas.openxmlformats.org/spreadsheetml/2006/main" count="6371" uniqueCount="488">
  <si>
    <t>Лот 29</t>
  </si>
  <si>
    <t>ул. Симбирская, д. 20</t>
  </si>
  <si>
    <t>кв.м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</si>
  <si>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</si>
  <si>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</si>
  <si>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</si>
  <si>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</si>
  <si>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</si>
  <si>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I. Уборка земельного участка, входящего в состав общего имущества многоквартирного дома</t>
  </si>
  <si>
    <t>Уборка мусора на контейнерных площадках</t>
  </si>
  <si>
    <t>5 раз в неделю</t>
  </si>
  <si>
    <t>II. Услуги вывоза бытовых отходов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</si>
  <si>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</si>
  <si>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</si>
  <si>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</si>
  <si>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</si>
  <si>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III. Подготовка многоквартирного дома к сезонной эксплуатации</t>
  </si>
  <si>
    <t>Укрепление водосточных труб, колен и воронок</t>
  </si>
  <si>
    <t>1 раз в год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</si>
  <si>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</si>
  <si>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IV. Проведение технических осмотров и мелкий ремонт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</si>
  <si>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</t>
  </si>
  <si>
    <t xml:space="preserve">Аварийное обслуживание </t>
  </si>
  <si>
    <t>Постоянно на системах водоснабжения, энергоснабжения, газоснабжения</t>
  </si>
  <si>
    <t>V. Устранение аварии и выполнение заявок населения</t>
  </si>
  <si>
    <t>Выполнение заявок населения</t>
  </si>
  <si>
    <t>Постоянно</t>
  </si>
  <si>
    <t>ИТОГО</t>
  </si>
  <si>
    <t>№ п/п</t>
  </si>
  <si>
    <t>Перечень работ, материалы</t>
  </si>
  <si>
    <t>Объем работ ед. изм. / кол-во</t>
  </si>
  <si>
    <t>Стоимость работ, всего, руб.</t>
  </si>
  <si>
    <t>Стоимость работ,                        1 кв.м в месяц, руб.</t>
  </si>
  <si>
    <t>Гарантийный срок  на выполненные работы, лет</t>
  </si>
  <si>
    <t xml:space="preserve">Устранение протечек кровли, в т.ч. ремонт          </t>
  </si>
  <si>
    <t>12 кв.м</t>
  </si>
  <si>
    <t>Итого</t>
  </si>
  <si>
    <t>Размер платы за содержание и ремонт жилого помещения в год  руб.</t>
  </si>
  <si>
    <t>Стоимость на 1 кв. м в месяц, руб.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</si>
  <si>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</si>
  <si>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I. Санитарные работы по содержанию помещений общего пользования</t>
  </si>
  <si>
    <t>Очистка и помывка фасадов здания от объявлений, плакатов</t>
  </si>
  <si>
    <t xml:space="preserve">2 раза в год </t>
  </si>
  <si>
    <t>II. Уборка земельного участка входящего в состав общего имущества многоквартирного дома</t>
  </si>
  <si>
    <t>Очистка и текущий ремонт детских и спортивных площадок, элементов благоустройства</t>
  </si>
  <si>
    <t xml:space="preserve">1 раз в год </t>
  </si>
  <si>
    <t>Ликвидация наледи</t>
  </si>
  <si>
    <t>Стоимость работ,                            1 кв.м в месяц, руб.</t>
  </si>
  <si>
    <t>2 кв.м</t>
  </si>
  <si>
    <t>Лот 28</t>
  </si>
  <si>
    <t>ул. Симбирская, д. 37</t>
  </si>
  <si>
    <t>7 кв.м</t>
  </si>
  <si>
    <t>Размер платы за содержание и ремонт жилого помещения в год по лоту 28, руб.</t>
  </si>
  <si>
    <t>Лот 30</t>
  </si>
  <si>
    <t>Смурский пер., д. 19</t>
  </si>
  <si>
    <t>4,2 кв.м</t>
  </si>
  <si>
    <t>Смурский пер., д. 17</t>
  </si>
  <si>
    <t>7,7 кв.м</t>
  </si>
  <si>
    <t>Размер платы за содержание и ремонт жилого помещения в год по лоту 30,  руб.</t>
  </si>
  <si>
    <t>Лот 31</t>
  </si>
  <si>
    <t>ул. Соколовая, д. 234</t>
  </si>
  <si>
    <t>I. Услуги вывоза бытовых отходов</t>
  </si>
  <si>
    <t>1.</t>
  </si>
  <si>
    <t>2.</t>
  </si>
  <si>
    <t>II. Подготовка многоквартирного дома к сезонной эксплуатации</t>
  </si>
  <si>
    <t>3.</t>
  </si>
  <si>
    <t>4.</t>
  </si>
  <si>
    <t>III. Проведение технических осмотров и мелкий ремонт</t>
  </si>
  <si>
    <t>5.</t>
  </si>
  <si>
    <t>6.</t>
  </si>
  <si>
    <t>IV. Устранение аварии и выполнение заявок населения</t>
  </si>
  <si>
    <t>7.</t>
  </si>
  <si>
    <t>6,2 кв.м</t>
  </si>
  <si>
    <t>Размер платы за содержание и ремонт жилого помещения в год по лоту 31,  руб.</t>
  </si>
  <si>
    <t>Лот 51</t>
  </si>
  <si>
    <t>ул. Соколовая, д. 278</t>
  </si>
  <si>
    <t>I. Подготовка многоквартирного дома к сезонной эксплуатации</t>
  </si>
  <si>
    <t>II. Проведение технических осмотров и мелкий ремонт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</si>
  <si>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канализации, теплоснабжения</t>
  </si>
  <si>
    <t>Постоянно на системах водоснабжения, канализации, энергоснабжения, газоснабжения</t>
  </si>
  <si>
    <t>III. Устранение аварии и выполнение заявок населения</t>
  </si>
  <si>
    <t>4 кв.м</t>
  </si>
  <si>
    <t>1 кв.м</t>
  </si>
  <si>
    <t>Размер платы за содержание и ремонт жилого помещения в год по лоту 51  руб.</t>
  </si>
  <si>
    <t>Лот 52</t>
  </si>
  <si>
    <t>ул. Соколовая, д. 340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</si>
  <si>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</si>
  <si>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Постоянно на системах энергоснабжения, газоснабжения</t>
  </si>
  <si>
    <t>2,68 кв.м</t>
  </si>
  <si>
    <t>Размер платы за содержание и ремонт жилого помещения в год по лоту 52,  руб.</t>
  </si>
  <si>
    <t>Лот 56</t>
  </si>
  <si>
    <t>ул. Гранатная, д. 10/36</t>
  </si>
  <si>
    <t>8,8 кв.м</t>
  </si>
  <si>
    <t>Лот 57</t>
  </si>
  <si>
    <t>ул. Захарова, д. 67</t>
  </si>
  <si>
    <t>3,3 кв.м</t>
  </si>
  <si>
    <t>Лот 90</t>
  </si>
  <si>
    <t>ул. Сосновская, д. 16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</si>
  <si>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</si>
  <si>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>ул. Сосновская, д. 18</t>
  </si>
  <si>
    <t>ул. Сосновская, д. 20</t>
  </si>
  <si>
    <t>ул. Сосновская, д. 22</t>
  </si>
  <si>
    <t>Размер платы за содержание и ремонт жилого помещения в год по лоту 90 руб.</t>
  </si>
  <si>
    <t>Лот 91</t>
  </si>
  <si>
    <t>ул. Сосновская, д. 28</t>
  </si>
  <si>
    <t>Консервация системы центрального отопления, ремонт просевшей отмостки</t>
  </si>
  <si>
    <t>Ремонт, регулировка, промывка, испытание, расконсервация систем центрального отопления,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</si>
  <si>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Постоянно на системах водоснабжения, теплоснабжения, канализации, энергоснабжения, газоснабжения</t>
  </si>
  <si>
    <t>ул. Сосновская, д. 30</t>
  </si>
  <si>
    <t>Размер платы за содержание и ремонт жилого помещения в год по лоту 91 руб.</t>
  </si>
  <si>
    <t>Лот 92</t>
  </si>
  <si>
    <t>ул. Сосновская, д. 19</t>
  </si>
  <si>
    <t>ул. Сосновская, д. 21</t>
  </si>
  <si>
    <t>Размер платы за содержание и ремонт жилого помещения в год по лоту 92 руб.</t>
  </si>
  <si>
    <t>Лот 93</t>
  </si>
  <si>
    <t>ул. Сосновская, д. 33</t>
  </si>
  <si>
    <t>Лот 94</t>
  </si>
  <si>
    <t>Размер платы за содержание и ремонт жилого помещения в год по лоту 94 руб.</t>
  </si>
  <si>
    <t>Лот 95</t>
  </si>
  <si>
    <t>ул. Сосновская, д. 13</t>
  </si>
  <si>
    <t>Размер платы за содержание и ремонт жилого помещения в год по лоту 95,  руб.</t>
  </si>
  <si>
    <t>ул. Симбирская д. 18</t>
  </si>
  <si>
    <t>Постоянно на системах  энергоснабжения, газоснабжения</t>
  </si>
  <si>
    <t>Ремонт кровли</t>
  </si>
  <si>
    <t>3 кв.м</t>
  </si>
  <si>
    <t>Размер платы за содержание и ремонт жилого помещения в год по лоту 29, руб.</t>
  </si>
  <si>
    <t>Лот 96</t>
  </si>
  <si>
    <t>Юбилейный пр-д, д. 34</t>
  </si>
  <si>
    <t>Лот 97</t>
  </si>
  <si>
    <t>Юбилейный пр-д, д. 38</t>
  </si>
  <si>
    <t>Юбилейный пр-д, д. 40</t>
  </si>
  <si>
    <t>Размер платы за содержание и ремонт жилого помещения в год по лоту 97 руб.</t>
  </si>
  <si>
    <t>Лот 98</t>
  </si>
  <si>
    <t>Юбилейный пр-д, д. 37</t>
  </si>
  <si>
    <t>Юбилейный пр-д, д. 39</t>
  </si>
  <si>
    <t>Размер платы за содержание и ремонт жилого помещения в год по лоту 98 руб.</t>
  </si>
  <si>
    <t>Размер платы за содержание и ремонт жилого помещения в год по лоту 96,  руб.</t>
  </si>
  <si>
    <t>Лот 4</t>
  </si>
  <si>
    <t>ул. Б.Казачья д. 100В</t>
  </si>
  <si>
    <t>Постоянно на системах водоснабжения, энергоснабжения, канализации, газоснабжения</t>
  </si>
  <si>
    <t>Ремонт отмостки</t>
  </si>
  <si>
    <t>11 кв.м</t>
  </si>
  <si>
    <t xml:space="preserve"> 2,5 кв.м</t>
  </si>
  <si>
    <t>Размер платы за содержание и ремонт жилого помещения в год по лоту № 4 руб.</t>
  </si>
  <si>
    <t>Лот 9</t>
  </si>
  <si>
    <t>ул. Б.Казачья д. 84</t>
  </si>
  <si>
    <t>Уборка мусора с газона</t>
  </si>
  <si>
    <t>2 раза в неделю</t>
  </si>
  <si>
    <t xml:space="preserve">Полив газонов       </t>
  </si>
  <si>
    <t>3 раза в месяц</t>
  </si>
  <si>
    <t>Обрезка деревьев и кустарников</t>
  </si>
  <si>
    <t>VI. Прочие услуги</t>
  </si>
  <si>
    <t>Вывоз смета</t>
  </si>
  <si>
    <t>Подметание земельного участка в летний период</t>
  </si>
  <si>
    <t>5 раз в неделю дополнительно</t>
  </si>
  <si>
    <t>Размер платы за содержание и ремонт жилого помещения в год  по лоту № 9 руб.</t>
  </si>
  <si>
    <t>Лот 10</t>
  </si>
  <si>
    <t>ул. Б.Казачья д. 94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</si>
  <si>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</si>
  <si>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</si>
  <si>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необходимости, через  3 часа во время снегопада</t>
  </si>
  <si>
    <t>5 раз в год</t>
  </si>
  <si>
    <t>Ремонт конструкций пристройки</t>
  </si>
  <si>
    <t>21 кв.м</t>
  </si>
  <si>
    <t>1,4 кв.м</t>
  </si>
  <si>
    <t>2 раза в год дополнительно</t>
  </si>
  <si>
    <t>Размер платы за содержание и ремонт жилого помещения в год  по лоту № 10 руб.</t>
  </si>
  <si>
    <t>Лот 11</t>
  </si>
  <si>
    <t>ул. Вольская д. 157</t>
  </si>
  <si>
    <t>Постоянно на системах вдоснабжения, энергоснабжения, газоснабжения</t>
  </si>
  <si>
    <t>5 кв.м</t>
  </si>
  <si>
    <t>2,5 кв.м</t>
  </si>
  <si>
    <t>Размер платы за содержание и ремонт жилого помещения в год  по лоту №11 руб.</t>
  </si>
  <si>
    <t>Лот 12</t>
  </si>
  <si>
    <t>ул. Гоголя д. 41</t>
  </si>
  <si>
    <t>10 кв.м</t>
  </si>
  <si>
    <t>Размер платы за содержание и ремонт жилого помещения в год  по лоту №12 руб.</t>
  </si>
  <si>
    <t>Лот 13</t>
  </si>
  <si>
    <t>ул. Гоголя д. 53</t>
  </si>
  <si>
    <t>Размер платы за содержание и ремонт жилого помещения в год  по лоту № 13 руб.</t>
  </si>
  <si>
    <t>Лот 14</t>
  </si>
  <si>
    <t>ул. Горького А.М. д. 83 лит.Б</t>
  </si>
  <si>
    <t>13 кв.м</t>
  </si>
  <si>
    <t>Размер платы за содержание и ремонт жилого помещения в год  по лоту № 14 руб.</t>
  </si>
  <si>
    <t>Лот 16</t>
  </si>
  <si>
    <t>ул. Киселева д. 20</t>
  </si>
  <si>
    <t>6 кв.м</t>
  </si>
  <si>
    <t>1,5 кв.м</t>
  </si>
  <si>
    <t>Размер платы за содержание и ремонт жилого помещения в год  по лоту № 16 руб.</t>
  </si>
  <si>
    <t>Лот 17</t>
  </si>
  <si>
    <t>ул. Киселева д. 36</t>
  </si>
  <si>
    <t xml:space="preserve">II. Услуги вывоза бытовых отходов </t>
  </si>
  <si>
    <t>64 кв.м</t>
  </si>
  <si>
    <t>14 кв.м</t>
  </si>
  <si>
    <t>Размер платы за содержание и ремонт жилого помещения в год по лоту № 17  руб.</t>
  </si>
  <si>
    <t>Лот 18</t>
  </si>
  <si>
    <t>ул. Киселева д. 41</t>
  </si>
  <si>
    <t>Подметание полов во всех помещениях общего пользования</t>
  </si>
  <si>
    <t>Размер платы за содержание и ремонт жилого помещения в год  по лоту № 18 руб.</t>
  </si>
  <si>
    <t>Лот 21</t>
  </si>
  <si>
    <t>ул.Горького А.М. д.99</t>
  </si>
  <si>
    <t>Размер платы за содержание и ремонт жилого помещения в год  по лоту № 21 руб.</t>
  </si>
  <si>
    <t>Лот 25</t>
  </si>
  <si>
    <t>ул. Рахова д. 136</t>
  </si>
  <si>
    <t>9  кв.м</t>
  </si>
  <si>
    <t xml:space="preserve"> 2 кв.м</t>
  </si>
  <si>
    <t>Размер платы за содержание и ремонт жилого помещения в год по лоту № 25 руб.</t>
  </si>
  <si>
    <t>Лот 26</t>
  </si>
  <si>
    <t>ул. Рахова д. 150</t>
  </si>
  <si>
    <t>19 кв.м</t>
  </si>
  <si>
    <t>Размер платы за содержание и ремонт жилого помещения в год  по лоту № 26 руб.</t>
  </si>
  <si>
    <t>Лот 27</t>
  </si>
  <si>
    <t>ул. Симбирская д. 5</t>
  </si>
  <si>
    <t>2 раза в год</t>
  </si>
  <si>
    <t>Размер платы за содержание и ремонт жилого помещения в год  по лоту №27 руб.</t>
  </si>
  <si>
    <t>Лот 38</t>
  </si>
  <si>
    <t>ул. Гоголя д. 69</t>
  </si>
  <si>
    <t>Постоянно на системах, энергоснабжения, газоснабжения</t>
  </si>
  <si>
    <t>Размер платы за содержание и ремонт жилого помещения в год  по лоту № 38 руб.</t>
  </si>
  <si>
    <t>Лот 39</t>
  </si>
  <si>
    <t>ул. Гоголя д. 83</t>
  </si>
  <si>
    <t>Размер платы за содержание и ремонт жилого помещения в год по лоту №39  руб.</t>
  </si>
  <si>
    <t>Лот 40</t>
  </si>
  <si>
    <t>ул. Зарубина д. 124</t>
  </si>
  <si>
    <t>Размер платы за содержание и ремонт жилого помещения в год  по лоту № 40 руб.</t>
  </si>
  <si>
    <t>Лот 41</t>
  </si>
  <si>
    <t>ул. Посадского И.Н. д. 296</t>
  </si>
  <si>
    <t>Размер платы за содержание и ремонт жилого помещения в год  по лоту №41 руб.</t>
  </si>
  <si>
    <t>Лот 48</t>
  </si>
  <si>
    <t>ул. Пичугинский пер., д. 14</t>
  </si>
  <si>
    <t>Размер платы за содержание и ремонт жилого помещения в год   по лоту № 48 руб.</t>
  </si>
  <si>
    <t>Лот 49</t>
  </si>
  <si>
    <t>ул. Посадского д. 252</t>
  </si>
  <si>
    <t xml:space="preserve">I. Услуги вывоза бытовых отходов </t>
  </si>
  <si>
    <t>Размер платы за содержание и ремонт жилого помещения в год  по лоту № 49 руб.</t>
  </si>
  <si>
    <t>Лот 50</t>
  </si>
  <si>
    <t>ул. Рахова д. 224</t>
  </si>
  <si>
    <t>9 кв.м</t>
  </si>
  <si>
    <t>Размер платы за содержание и ремонт жилого помещения в год  по лоту № 50 руб.</t>
  </si>
  <si>
    <t>Лот 62</t>
  </si>
  <si>
    <t>ул. Геофизическая д. 62</t>
  </si>
  <si>
    <t>Размер платы за содержание и ремонт жилого помещения в год по лоту № 62 руб.</t>
  </si>
  <si>
    <t>Лот 67</t>
  </si>
  <si>
    <t>ул. Геологическая д. 44</t>
  </si>
  <si>
    <t>Размер платы за содержание и ремонт жилого помещения в год  по лоту № 67 руб.</t>
  </si>
  <si>
    <t>Лот 68</t>
  </si>
  <si>
    <t>ул. Дружная д. 15</t>
  </si>
  <si>
    <t>Размер платы за содержание и ремонт жилого помещения в год  по лоту № 68 руб.</t>
  </si>
  <si>
    <t>Лот 69</t>
  </si>
  <si>
    <t>ул. Дружная д. 18</t>
  </si>
  <si>
    <t>Размер платы за содержание и ремонт жилого помещения в год  по лоту №69 руб.</t>
  </si>
  <si>
    <t>Лот 70</t>
  </si>
  <si>
    <t>ул. Дружная д. 19</t>
  </si>
  <si>
    <t>Размер платы за содержание и ремонт жилого помещения в год  по лоту № 70 руб.</t>
  </si>
  <si>
    <t>Лот 71</t>
  </si>
  <si>
    <t>ул. Дружная д.29</t>
  </si>
  <si>
    <t>Размер платы за содержание и ремонт жилого помещения в год  по лоту № 71 руб.</t>
  </si>
  <si>
    <t>Лот 72</t>
  </si>
  <si>
    <t>ул. Дружная д.36</t>
  </si>
  <si>
    <t>Размер платы за содержание и ремонт жилого помещения в год  по лоту № 72 руб.</t>
  </si>
  <si>
    <t>Лот 80</t>
  </si>
  <si>
    <t>ул.Павлодарская д.34</t>
  </si>
  <si>
    <t>Размер платы за содержание и ремонт жилого помещения в год  по лоту № 80 руб.</t>
  </si>
  <si>
    <t>Лот 82</t>
  </si>
  <si>
    <t>Павлодарский пр. д.22</t>
  </si>
  <si>
    <t>Размер платы за содержание и ремонт жилого помещения в год  по лоту № 82 руб.</t>
  </si>
  <si>
    <t>Лот 83</t>
  </si>
  <si>
    <t>Павлодарский пр. д. 35</t>
  </si>
  <si>
    <t>Павлодарский пр. д. 37</t>
  </si>
  <si>
    <t>Павлодарский пр. д. 39</t>
  </si>
  <si>
    <t>Размер платы за содержание и ремонт жилого помещения в год  по лоту №83 руб.</t>
  </si>
  <si>
    <t>Лот 84</t>
  </si>
  <si>
    <t>ул. Павлодарский пр-д д. 34</t>
  </si>
  <si>
    <t>ул. Павлодарский пр-д д. 36</t>
  </si>
  <si>
    <t>ул. Павлодарский пр-д д. 32</t>
  </si>
  <si>
    <t>Размер платы за содержание и ремонт жилого помещения в год  по лоту № 84 руб.</t>
  </si>
  <si>
    <t>Лот 85</t>
  </si>
  <si>
    <t>Павлодарский пр. д. 26</t>
  </si>
  <si>
    <t>Размер платы за содержание и ремонт жилого помещения в год  по лоту № 85 руб.</t>
  </si>
  <si>
    <t>Лот 86</t>
  </si>
  <si>
    <t>Павлодарский пр. д. 27</t>
  </si>
  <si>
    <t>Размер платы за содержание и ремонт жилого помещения в год  по лоту № 86 руб.</t>
  </si>
  <si>
    <t>Лот 88</t>
  </si>
  <si>
    <t>ул. Порядковая д. 14</t>
  </si>
  <si>
    <t>Размер платы за содержание и ремонт жилого помещения в год  по лоту № 88 руб.</t>
  </si>
  <si>
    <t>Лот 89</t>
  </si>
  <si>
    <t>ул. Порядковая д. 2А</t>
  </si>
  <si>
    <t>Постоянно на системах канализации, энергоснабжения, газоснабжения</t>
  </si>
  <si>
    <t>Размер платы за содержание и ремонт жилого помещения в год  по лоту № 89 руб.</t>
  </si>
  <si>
    <t>I. Содержание помещений общего пользования</t>
  </si>
  <si>
    <t xml:space="preserve">1. </t>
  </si>
  <si>
    <t>1 раз в неделю</t>
  </si>
  <si>
    <t xml:space="preserve">5. </t>
  </si>
  <si>
    <t>Мытье лестничных площадок и маршей</t>
  </si>
  <si>
    <t>II. Уборка земельного участка, входящего в состав общего имущества многоквартирного дома</t>
  </si>
  <si>
    <t>IV. Подготовка многоквартирного дома к сезонной эксплуатации</t>
  </si>
  <si>
    <t>Замена разбитых стекол окон и дверей в помещениях общего пользования</t>
  </si>
  <si>
    <t>V. Проведение технических осмотров и мелкий ремонт</t>
  </si>
  <si>
    <t>VI. Устранение аварии и выполнение заявок населения</t>
  </si>
  <si>
    <t>VII. Прочие услуги</t>
  </si>
  <si>
    <t>Осуществление сохранности и поддержка в исправном состоянии абонентских почтовых шкафов и почтовых абонентских ящиков</t>
  </si>
  <si>
    <t xml:space="preserve">Постоянно </t>
  </si>
  <si>
    <t>Ремонт цоколя</t>
  </si>
  <si>
    <t>3 раза в неделю дополнительно</t>
  </si>
  <si>
    <t xml:space="preserve">2. </t>
  </si>
  <si>
    <t xml:space="preserve">3. </t>
  </si>
  <si>
    <t xml:space="preserve">4. </t>
  </si>
  <si>
    <t>2 м/п</t>
  </si>
  <si>
    <t>Лот 1</t>
  </si>
  <si>
    <t>ул.1-ая Садовая, д. 19</t>
  </si>
  <si>
    <t xml:space="preserve"> Ремонт просевшей отмостки</t>
  </si>
  <si>
    <t xml:space="preserve">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</si>
  <si>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I. Уборка земельного участка входящего в состав общего имущества многоквартирного дома</t>
  </si>
  <si>
    <t>Размер платы за содержание и ремонт жилого помещения по лоту 1 в год  руб.</t>
  </si>
  <si>
    <t>Лот 2</t>
  </si>
  <si>
    <t>ул.1-ая Садовая, д. 70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</si>
  <si>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устройств,водопровода</t>
  </si>
  <si>
    <t>Размер платы за содержание и ремонт жилого помещения по лоту 2 в год  руб.</t>
  </si>
  <si>
    <t>Лот 3</t>
  </si>
  <si>
    <t>ул.Б.Горная, д.188</t>
  </si>
  <si>
    <t>Устранение протечек кровли, в т.ч. ремонт</t>
  </si>
  <si>
    <t>Размер платы за содержание и ремонт жилого помещения по лоту 3 в год  руб.</t>
  </si>
  <si>
    <t>Лот 5</t>
  </si>
  <si>
    <t>ул. Б. Казачья, д. 4</t>
  </si>
  <si>
    <t>Размер платы за содержание и ремонт жилого помещения в год по лоту 5  руб.</t>
  </si>
  <si>
    <t>Лот 6</t>
  </si>
  <si>
    <t>ул. Б. Казачья, д. 8</t>
  </si>
  <si>
    <t>Размер платы за содержание и ремонт жилого помещения в год по лоту 6  руб.</t>
  </si>
  <si>
    <t>Лот 7</t>
  </si>
  <si>
    <t>ул. Б. Казачья, д. 16</t>
  </si>
  <si>
    <t>7,8 кв.м</t>
  </si>
  <si>
    <t>Размер платы за содержание и ремонт жилого помещения в год по лоту 7  руб.</t>
  </si>
  <si>
    <t>Лот 8</t>
  </si>
  <si>
    <t>ул. Б.Казачья д. 54</t>
  </si>
  <si>
    <t>Постоянно на системах водоснабжения канализации, энергоснабжения, газоснабжения</t>
  </si>
  <si>
    <t>Устранение протечки кровли, в т.ч. hемонт</t>
  </si>
  <si>
    <t>1,7 кв.м</t>
  </si>
  <si>
    <t>Размер платы за содержание и ремонт жилого помещения по лоту 8 в год  руб.</t>
  </si>
  <si>
    <t>Лот 19</t>
  </si>
  <si>
    <t>ул. Киселева, д.62</t>
  </si>
  <si>
    <t>IV. Прочие услуги</t>
  </si>
  <si>
    <t>Устранение протечки кровли, в т.ч. ремонт</t>
  </si>
  <si>
    <t>18 кв.м</t>
  </si>
  <si>
    <t xml:space="preserve">5 раз в неделю </t>
  </si>
  <si>
    <t>Размер платы за содержание и ремонт жилого помещения по лоту 19 в год  руб.</t>
  </si>
  <si>
    <t>Лот 22</t>
  </si>
  <si>
    <t>ул.Московская д. 81</t>
  </si>
  <si>
    <t>Ремонт, замена внутридомовых эл. Сетей</t>
  </si>
  <si>
    <t>9 м.п</t>
  </si>
  <si>
    <t>Размер платы за содержание и ремонт жилого помещения по лоту 22 в год  руб.</t>
  </si>
  <si>
    <t>Лот 23</t>
  </si>
  <si>
    <t>ул.Московская д. 93</t>
  </si>
  <si>
    <t>III. Услуги вывоза бытовых отходов</t>
  </si>
  <si>
    <t>10,7 кв.м</t>
  </si>
  <si>
    <t>Размер платы за содержание и ремонт жилого помещения в год по лоту 23  руб.</t>
  </si>
  <si>
    <t>Лот 24</t>
  </si>
  <si>
    <t>ул.Московская д. 98</t>
  </si>
  <si>
    <t>Размер платы за содержание и ремонт жилого помещения в год по лоту 24 руб.</t>
  </si>
  <si>
    <t>Лот 42</t>
  </si>
  <si>
    <t>ул.1-ый Пугачевский пос.В-21</t>
  </si>
  <si>
    <t>Размер платы за содержание и ремонт жилого помещения по лоту 42 в год  руб.</t>
  </si>
  <si>
    <t>Лот 43</t>
  </si>
  <si>
    <t>2-ой Пугачевский пос., 6-линия, 145 Д</t>
  </si>
  <si>
    <t>2,6 кв.м</t>
  </si>
  <si>
    <t>Размер платы за содержание и ремонт жилого помещения по лоту 43  в год  руб.</t>
  </si>
  <si>
    <t>Лот 44</t>
  </si>
  <si>
    <t>3-й Зеленый пр., д. 2</t>
  </si>
  <si>
    <t>Размер платы за содержание и ремонт жилого помещения по лоту 44 в год  руб.</t>
  </si>
  <si>
    <t>Лот 45</t>
  </si>
  <si>
    <t>ул.Б.Горная, д.357/3</t>
  </si>
  <si>
    <t>Ремонт,замена внутридомовых эл.сеткй</t>
  </si>
  <si>
    <t>14 м.п</t>
  </si>
  <si>
    <t>Ремонт входных ступеней,в т.ч крылец</t>
  </si>
  <si>
    <t>1 шт</t>
  </si>
  <si>
    <t>2,44 кв.м</t>
  </si>
  <si>
    <t>3,28 кв.м</t>
  </si>
  <si>
    <t>Ремонт дверей,в т.ч. дв.коробок</t>
  </si>
  <si>
    <t>1 кор.</t>
  </si>
  <si>
    <t>Ремонт дверей,в т.ч. дв.полотен</t>
  </si>
  <si>
    <t>1 пол.</t>
  </si>
  <si>
    <t>Размер платы за содержание и ремонт жилого помещения по лоту 45 в год  руб.</t>
  </si>
  <si>
    <t>Лот 46</t>
  </si>
  <si>
    <t>ул.Б.Горная, д.270</t>
  </si>
  <si>
    <t>8 кв.м</t>
  </si>
  <si>
    <t>Размер платы за содержание и ремонт жилого помещения по лоту 46 в год  руб.</t>
  </si>
  <si>
    <t>Лот 47</t>
  </si>
  <si>
    <t>ул.Б.Горная, д.310</t>
  </si>
  <si>
    <t>Размер платы за содержание и ремонт жилого помещения по лоту 47 в год  руб.</t>
  </si>
  <si>
    <t>Лот 58</t>
  </si>
  <si>
    <t>ул.1-ая Земляная, д. 9</t>
  </si>
  <si>
    <t>6,5 кв.м</t>
  </si>
  <si>
    <t>Размер платы за содержание и ремонт жилого помещения по лоту 58 в год  руб.</t>
  </si>
  <si>
    <t>Лот 59</t>
  </si>
  <si>
    <t>Устранение протечки кровли, в т.ч. Ремонт</t>
  </si>
  <si>
    <t>Лот 60</t>
  </si>
  <si>
    <t>ул.2-ой Магнитный пр-д, д. 72</t>
  </si>
  <si>
    <t>Ремонт просевшей отмостки</t>
  </si>
  <si>
    <t>Размер платы за содержание и ремонт жилого помещения по лоту 60  в год  руб.</t>
  </si>
  <si>
    <t>Лот 63</t>
  </si>
  <si>
    <t>2-ой Межовражный пр.,  д. 2</t>
  </si>
  <si>
    <t>Размер платы за содержание и ремонт жилого помещения по лоту 63 в год  руб.</t>
  </si>
  <si>
    <t>Лот 64</t>
  </si>
  <si>
    <t>ул.2-ой Межовражный пр-д, д. 14</t>
  </si>
  <si>
    <t>Размер платы за содержание и ремонт жилого помещения по лоту 64 в год  руб.</t>
  </si>
  <si>
    <t>Лот  65</t>
  </si>
  <si>
    <t>ул. Алейная, д. 33</t>
  </si>
  <si>
    <t>ул. Алейная д. 35</t>
  </si>
  <si>
    <t>Размер платы за содержание и ремонт жилого помещения в год по лоту 65  руб.</t>
  </si>
  <si>
    <t>Лот  66</t>
  </si>
  <si>
    <t>ул. Алейная, д. 21</t>
  </si>
  <si>
    <t>ул. Алейная д. 23</t>
  </si>
  <si>
    <t>Размер платы за содержание и ремонт жилого помещения в год по лоту 66  руб.</t>
  </si>
  <si>
    <t>Лот 73</t>
  </si>
  <si>
    <t>ул.Отрядная д. 12</t>
  </si>
  <si>
    <t>Размер платы за содержание и ремонт жилого помещения по лоту 73 в год  руб.</t>
  </si>
  <si>
    <t>Лот  74</t>
  </si>
  <si>
    <t>ул. Отрядная, д. 2</t>
  </si>
  <si>
    <t>Размер платы за содержание и ремонт жилого помещения в год по лоту 74,  руб.</t>
  </si>
  <si>
    <t>Лот  75</t>
  </si>
  <si>
    <t>ул. Отрядная, д. 3</t>
  </si>
  <si>
    <t>Размер платы за содержание и ремонт жилого помещения в год по лоту 75,  руб.</t>
  </si>
  <si>
    <t>Лот  76</t>
  </si>
  <si>
    <t>ул. Отрядная, д. 4</t>
  </si>
  <si>
    <t>Размер платы за содержание и ремонт жилого помещения в год по лоту 76,  руб.</t>
  </si>
  <si>
    <t>Лот 77</t>
  </si>
  <si>
    <t>ул.Отрядная д. 26</t>
  </si>
  <si>
    <t>ул.Отрядная д. 28</t>
  </si>
  <si>
    <t>Размер платы за содержание и ремонт жилого помещения в год  по лоту 77, руб.</t>
  </si>
  <si>
    <t>Лот  78</t>
  </si>
  <si>
    <t>ул. Павлодарская, д. 26</t>
  </si>
  <si>
    <t>Размер платы за содержание и ремонт жилого помещения по лоту 78 в год  руб.</t>
  </si>
  <si>
    <t>Лот 79</t>
  </si>
  <si>
    <t>Размер платы за содержание и ремонт жилого помещения по лоту 79 в год  руб.</t>
  </si>
  <si>
    <t>Лот 87</t>
  </si>
  <si>
    <t>ул.Павлодарская д. 23</t>
  </si>
  <si>
    <t>ул.Павлодарская д. 25</t>
  </si>
  <si>
    <t>Размер платы за содержание и ремонт жилого помещения по лоту 87  в год  руб.</t>
  </si>
  <si>
    <t>ул. Павлодарская, д.33</t>
  </si>
  <si>
    <t>ул. Павлодарская, д.31</t>
  </si>
  <si>
    <t>Лот 20</t>
  </si>
  <si>
    <t>ул. Кутякова д. 64</t>
  </si>
  <si>
    <t>Устранение протечек кровли, в т.ч ремонт</t>
  </si>
  <si>
    <t>Размер платы за содержание и ремонт жилого помещения по лоту 20 в год  руб.</t>
  </si>
  <si>
    <t>Лот 15</t>
  </si>
  <si>
    <t>ул. Зарубина, д. 45</t>
  </si>
  <si>
    <t>Размер платы за содержание и ремонт жилого помещения в год по лоту 15, руб.</t>
  </si>
  <si>
    <t>Лот 32</t>
  </si>
  <si>
    <t>ул. им. Чапаева В.И., д. 67</t>
  </si>
  <si>
    <t>22 кв.м</t>
  </si>
  <si>
    <t>Размер платы за содержание и ремонт жилого помещения в год по лоту 32, руб.</t>
  </si>
  <si>
    <t>Лот 33</t>
  </si>
  <si>
    <t>ул. им. Чапаева В.И., д. 148</t>
  </si>
  <si>
    <t>4,4 кв.м</t>
  </si>
  <si>
    <t>Размер платы за содержание и ремонт жилого помещения в год по лоту 33, руб.</t>
  </si>
  <si>
    <t>Лот 34</t>
  </si>
  <si>
    <t>ул. им. Чапаева В.И., д. 82</t>
  </si>
  <si>
    <t>17,7 кв.м</t>
  </si>
  <si>
    <t>Размер платы за содержание и ремонт жилого помещения в год по лоту 34, руб.</t>
  </si>
  <si>
    <t>Лот 35</t>
  </si>
  <si>
    <t>ул. им. Чапаева В.И., д. 106</t>
  </si>
  <si>
    <t>Размер платы за содержание и ремонт жилого помещения в год по лоту 35, руб.</t>
  </si>
  <si>
    <t>Лот 36</t>
  </si>
  <si>
    <t>ул. Челюскинцев, д. 124</t>
  </si>
  <si>
    <t>V. Прочие услуги</t>
  </si>
  <si>
    <t>27,5 кв.м</t>
  </si>
  <si>
    <t>Размер платы за содержание и ремонт жилого помещения в год по лоту 36, руб.</t>
  </si>
  <si>
    <t>Лот 37</t>
  </si>
  <si>
    <t>ул. Челюскинцев, д. 182</t>
  </si>
  <si>
    <t>15,4 кв.м</t>
  </si>
  <si>
    <t>Лот 53</t>
  </si>
  <si>
    <t>ул.Танкистов д. 21</t>
  </si>
  <si>
    <t>Устранение протечек кровли, в т.ч. Ремонт</t>
  </si>
  <si>
    <t>Размер платы за содержание и ремонт жилого помещения по лоту 53 в год  руб.</t>
  </si>
  <si>
    <t>Лот 54</t>
  </si>
  <si>
    <t>Размер платы за содержание и ремонт жилого помещения по лоту 54 в год  руб.</t>
  </si>
  <si>
    <t>Лот 55</t>
  </si>
  <si>
    <t>ул.1-я Аптечная д. 15</t>
  </si>
  <si>
    <t>Размер платы за содержание и ремонт жилого помещения по лоту 55 в год  руб.</t>
  </si>
  <si>
    <t>Лот  81</t>
  </si>
  <si>
    <t>ул. Павлодарская, д. 37</t>
  </si>
  <si>
    <t>Размер платы за содержание и ремонт жилого помещения по лоту 81 в год  руб.</t>
  </si>
  <si>
    <t>ул. Чапаева д. 235 А</t>
  </si>
  <si>
    <t>ул. Аткарская д. 49</t>
  </si>
  <si>
    <t>Размер платы за содержание и ремонт жилого помещения в год по лоту № 61 руб.</t>
  </si>
  <si>
    <t>Лот 61</t>
  </si>
  <si>
    <t>ул.Танкистов д. 44</t>
  </si>
  <si>
    <t>Размер платы за содержание и ремонт жилого помещения в год по лоту №56  руб.</t>
  </si>
  <si>
    <t>Размер платы за содержание и ремонт жилого помещения по лоту № 59 в год  руб.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</si>
</sst>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"/>
    <numFmt numFmtId="180" formatCode="0.0000000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#,##0.00000000000"/>
    <numFmt numFmtId="195" formatCode="#,##0.000000000000"/>
    <numFmt numFmtId="196" formatCode="#,##0.0000000000000"/>
    <numFmt numFmtId="197" formatCode="#,##0.00000000000000"/>
  </numFmts>
  <fonts count="29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wrapText="1"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166" fontId="2" fillId="0" borderId="10" xfId="0" applyNumberFormat="1" applyFont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181" fontId="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right" vertical="center" wrapText="1"/>
    </xf>
    <xf numFmtId="2" fontId="0" fillId="0" borderId="0" xfId="0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2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4" fontId="2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/>
    </xf>
    <xf numFmtId="4" fontId="26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/>
    </xf>
    <xf numFmtId="2" fontId="26" fillId="0" borderId="0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wrapText="1"/>
    </xf>
    <xf numFmtId="1" fontId="3" fillId="0" borderId="1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181" fontId="0" fillId="0" borderId="0" xfId="0" applyNumberFormat="1" applyFill="1" applyBorder="1" applyAlignment="1">
      <alignment horizontal="center"/>
    </xf>
    <xf numFmtId="181" fontId="26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2" fontId="25" fillId="0" borderId="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181" fontId="0" fillId="0" borderId="0" xfId="0" applyNumberFormat="1" applyFill="1" applyBorder="1" applyAlignment="1">
      <alignment horizontal="left" indent="1"/>
    </xf>
    <xf numFmtId="2" fontId="0" fillId="0" borderId="0" xfId="0" applyNumberFormat="1" applyFill="1" applyBorder="1" applyAlignment="1">
      <alignment horizontal="left" indent="1"/>
    </xf>
    <xf numFmtId="182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wrapText="1"/>
    </xf>
    <xf numFmtId="3" fontId="27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3" fontId="28" fillId="0" borderId="0" xfId="0" applyNumberFormat="1" applyFont="1" applyBorder="1" applyAlignment="1">
      <alignment vertical="top" wrapText="1"/>
    </xf>
    <xf numFmtId="1" fontId="28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styles" Target="styles.xml" /><Relationship Id="rId100" Type="http://schemas.openxmlformats.org/officeDocument/2006/relationships/sharedStrings" Target="sharedStrings.xml" /><Relationship Id="rId10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5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308</v>
      </c>
    </row>
    <row r="2" spans="1:6" ht="39" customHeight="1">
      <c r="A2" s="2"/>
      <c r="B2" s="1" t="s">
        <v>309</v>
      </c>
      <c r="C2" s="4"/>
      <c r="D2" s="5">
        <v>80.61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740.1418411566118</v>
      </c>
      <c r="E7" s="12">
        <f>SUM(E8:E9)</f>
        <v>0.7651468398840217</v>
      </c>
      <c r="F7" s="19"/>
      <c r="G7" s="125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677.1654539401756</v>
      </c>
      <c r="E8" s="20">
        <v>0.7000428544227097</v>
      </c>
      <c r="F8" s="21"/>
      <c r="G8" s="125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62.97638721643627</v>
      </c>
      <c r="E9" s="17">
        <v>0.06510398546131195</v>
      </c>
      <c r="F9" s="21"/>
      <c r="G9" s="125"/>
    </row>
    <row r="10" spans="1:7" ht="15">
      <c r="A10" s="140" t="s">
        <v>64</v>
      </c>
      <c r="B10" s="143"/>
      <c r="C10" s="144"/>
      <c r="D10" s="23">
        <f>SUM(D11:D12)</f>
        <v>113.58909958938001</v>
      </c>
      <c r="E10" s="23">
        <f>SUM(E11:E12)</f>
        <v>0.11742660090702148</v>
      </c>
      <c r="F10" s="21"/>
      <c r="G10" s="125"/>
    </row>
    <row r="11" spans="1:7" ht="15">
      <c r="A11" s="15">
        <v>3</v>
      </c>
      <c r="B11" s="22" t="s">
        <v>310</v>
      </c>
      <c r="C11" s="22" t="s">
        <v>18</v>
      </c>
      <c r="D11" s="17">
        <f>E11*12*$D$2</f>
        <v>47.19022995124918</v>
      </c>
      <c r="E11" s="18">
        <v>0.04878450766163129</v>
      </c>
      <c r="F11" s="103"/>
      <c r="G11" s="125"/>
    </row>
    <row r="12" spans="1:7" ht="60">
      <c r="A12" s="15">
        <v>4</v>
      </c>
      <c r="B12" s="22" t="s">
        <v>311</v>
      </c>
      <c r="C12" s="22" t="s">
        <v>18</v>
      </c>
      <c r="D12" s="17">
        <f>E12*12*$D$2</f>
        <v>66.39886963813083</v>
      </c>
      <c r="E12" s="17">
        <v>0.06864209324539018</v>
      </c>
      <c r="F12" s="2"/>
      <c r="G12" s="125"/>
    </row>
    <row r="13" spans="1:7" ht="15">
      <c r="A13" s="145" t="s">
        <v>67</v>
      </c>
      <c r="B13" s="146"/>
      <c r="C13" s="146"/>
      <c r="D13" s="24">
        <f>SUM(D14:D15)</f>
        <v>287.1070893461852</v>
      </c>
      <c r="E13" s="24">
        <f>SUM(E14:E15)</f>
        <v>0.2968067333934843</v>
      </c>
      <c r="F13" s="2"/>
      <c r="G13" s="125"/>
    </row>
    <row r="14" spans="1:7" ht="60">
      <c r="A14" s="15">
        <v>5</v>
      </c>
      <c r="B14" s="22" t="s">
        <v>86</v>
      </c>
      <c r="C14" s="22" t="s">
        <v>18</v>
      </c>
      <c r="D14" s="17">
        <f>E14*12*$D$2</f>
        <v>13.176963154597516</v>
      </c>
      <c r="E14" s="17">
        <f>0.0136221345103973</f>
        <v>0.0136221345103973</v>
      </c>
      <c r="F14" s="2"/>
      <c r="G14" s="125"/>
    </row>
    <row r="15" spans="1:7" ht="60">
      <c r="A15" s="15">
        <v>6</v>
      </c>
      <c r="B15" s="22" t="s">
        <v>22</v>
      </c>
      <c r="C15" s="22" t="s">
        <v>122</v>
      </c>
      <c r="D15" s="17">
        <f>E15*12*$D$2</f>
        <v>273.9301261915877</v>
      </c>
      <c r="E15" s="20">
        <v>0.283184598883087</v>
      </c>
      <c r="F15" s="2"/>
      <c r="G15" s="125"/>
    </row>
    <row r="16" spans="1:7" ht="15">
      <c r="A16" s="145" t="s">
        <v>70</v>
      </c>
      <c r="B16" s="145"/>
      <c r="C16" s="145"/>
      <c r="D16" s="25">
        <f>SUM(D17)</f>
        <v>148.75706660858827</v>
      </c>
      <c r="E16" s="25">
        <f>SUM(E17)</f>
        <v>0.15378268474609053</v>
      </c>
      <c r="F16" s="2"/>
      <c r="G16" s="125"/>
    </row>
    <row r="17" spans="1:7" ht="15">
      <c r="A17" s="15">
        <v>7</v>
      </c>
      <c r="B17" s="22" t="s">
        <v>25</v>
      </c>
      <c r="C17" s="22" t="s">
        <v>26</v>
      </c>
      <c r="D17" s="17">
        <f>E17*12*$D$2</f>
        <v>148.75706660858827</v>
      </c>
      <c r="E17" s="26">
        <v>0.15378268474609053</v>
      </c>
      <c r="F17" s="2"/>
      <c r="G17" s="125"/>
    </row>
    <row r="18" spans="1:7" ht="15">
      <c r="A18" s="9"/>
      <c r="B18" s="27" t="s">
        <v>27</v>
      </c>
      <c r="C18" s="27"/>
      <c r="D18" s="48">
        <f>D7+D10+D13+D16</f>
        <v>1289.5950967007652</v>
      </c>
      <c r="E18" s="12">
        <f>+E7+E10+E13+E16</f>
        <v>1.333162858930618</v>
      </c>
      <c r="F18" s="6"/>
      <c r="G18" s="125"/>
    </row>
    <row r="19" spans="1:7" ht="15">
      <c r="A19" s="29"/>
      <c r="B19" s="30"/>
      <c r="C19" s="31"/>
      <c r="D19" s="32"/>
      <c r="E19" s="33"/>
      <c r="F19" s="2"/>
      <c r="G19" s="126"/>
    </row>
    <row r="20" spans="1:6" ht="15">
      <c r="A20" s="34"/>
      <c r="B20" s="34"/>
      <c r="C20" s="34"/>
      <c r="D20" s="34"/>
      <c r="E20" s="34"/>
      <c r="F20" s="35"/>
    </row>
    <row r="21" spans="1:6" ht="105">
      <c r="A21" s="11" t="s">
        <v>28</v>
      </c>
      <c r="B21" s="11" t="s">
        <v>29</v>
      </c>
      <c r="C21" s="11" t="s">
        <v>30</v>
      </c>
      <c r="D21" s="11" t="s">
        <v>31</v>
      </c>
      <c r="E21" s="11" t="s">
        <v>32</v>
      </c>
      <c r="F21" s="11" t="s">
        <v>33</v>
      </c>
    </row>
    <row r="22" spans="1:6" ht="15">
      <c r="A22" s="11">
        <v>1</v>
      </c>
      <c r="B22" s="8" t="s">
        <v>123</v>
      </c>
      <c r="C22" s="11" t="s">
        <v>81</v>
      </c>
      <c r="D22" s="11">
        <v>2106.5</v>
      </c>
      <c r="E22" s="37">
        <f>D22/12/$D$2</f>
        <v>2.1776661290989536</v>
      </c>
      <c r="F22" s="38">
        <v>2</v>
      </c>
    </row>
    <row r="23" spans="1:6" ht="15">
      <c r="A23" s="11"/>
      <c r="B23" s="39" t="s">
        <v>36</v>
      </c>
      <c r="C23" s="10"/>
      <c r="D23" s="54">
        <f>SUM(D22:D22)</f>
        <v>2106.5</v>
      </c>
      <c r="E23" s="40">
        <f>SUM(E22:E22)</f>
        <v>2.1776661290989536</v>
      </c>
      <c r="F23" s="41"/>
    </row>
    <row r="24" spans="1:6" ht="15">
      <c r="A24" s="29"/>
      <c r="B24" s="30"/>
      <c r="C24" s="42"/>
      <c r="D24" s="42"/>
      <c r="E24" s="42"/>
      <c r="F24" s="42"/>
    </row>
    <row r="25" spans="1:6" ht="29.25">
      <c r="A25" s="29"/>
      <c r="B25" s="30" t="s">
        <v>37</v>
      </c>
      <c r="C25" s="43">
        <f>D18+D23</f>
        <v>3396.095096700765</v>
      </c>
      <c r="D25" s="43"/>
      <c r="E25" s="43"/>
      <c r="F25" s="42"/>
    </row>
    <row r="26" spans="1:6" ht="15">
      <c r="A26" s="29"/>
      <c r="B26" s="30" t="s">
        <v>38</v>
      </c>
      <c r="C26" s="44">
        <f>E18+E23</f>
        <v>3.5108289880295716</v>
      </c>
      <c r="D26" s="42"/>
      <c r="E26" s="42"/>
      <c r="F26" s="42"/>
    </row>
    <row r="27" spans="1:6" ht="15">
      <c r="A27" s="29"/>
      <c r="B27" s="30"/>
      <c r="C27" s="44"/>
      <c r="D27" s="42"/>
      <c r="E27" s="42"/>
      <c r="F27" s="42"/>
    </row>
    <row r="28" spans="1:6" ht="56.25" customHeight="1">
      <c r="A28" s="2"/>
      <c r="B28" s="2"/>
      <c r="C28" s="2"/>
      <c r="D28" s="2"/>
      <c r="E28" s="2"/>
      <c r="F28" s="2"/>
    </row>
    <row r="29" spans="1:6" ht="33" customHeight="1">
      <c r="A29" s="138" t="s">
        <v>39</v>
      </c>
      <c r="B29" s="138"/>
      <c r="C29" s="138"/>
      <c r="D29" s="138"/>
      <c r="E29" s="138"/>
      <c r="F29" s="13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4</v>
      </c>
      <c r="C31" s="9" t="s">
        <v>5</v>
      </c>
      <c r="D31" s="9" t="s">
        <v>6</v>
      </c>
      <c r="E31" s="9" t="s">
        <v>7</v>
      </c>
      <c r="F31" s="2"/>
    </row>
    <row r="32" spans="1:5" ht="32.25" customHeight="1">
      <c r="A32" s="139" t="s">
        <v>312</v>
      </c>
      <c r="B32" s="139"/>
      <c r="C32" s="139"/>
      <c r="D32" s="12">
        <f>D33+D34</f>
        <v>77.3856</v>
      </c>
      <c r="E32" s="12">
        <f>E33+E34</f>
        <v>0.08</v>
      </c>
    </row>
    <row r="33" spans="1:5" ht="45">
      <c r="A33" s="15">
        <v>1</v>
      </c>
      <c r="B33" s="45" t="s">
        <v>44</v>
      </c>
      <c r="C33" s="45" t="s">
        <v>45</v>
      </c>
      <c r="D33" s="17">
        <f>E33*$D$2*12</f>
        <v>19.346400000000003</v>
      </c>
      <c r="E33" s="46">
        <v>0.02</v>
      </c>
    </row>
    <row r="34" spans="1:5" ht="15">
      <c r="A34" s="15">
        <v>2</v>
      </c>
      <c r="B34" s="47" t="s">
        <v>46</v>
      </c>
      <c r="C34" s="8" t="s">
        <v>42</v>
      </c>
      <c r="D34" s="17">
        <f>E34*$D$2*12</f>
        <v>58.039199999999994</v>
      </c>
      <c r="E34" s="18">
        <v>0.06</v>
      </c>
    </row>
    <row r="35" spans="1:6" ht="15">
      <c r="A35" s="9"/>
      <c r="B35" s="27" t="s">
        <v>27</v>
      </c>
      <c r="C35" s="27"/>
      <c r="D35" s="48">
        <f>+D32</f>
        <v>77.3856</v>
      </c>
      <c r="E35" s="12">
        <f>+E32</f>
        <v>0.08</v>
      </c>
      <c r="F35" s="6"/>
    </row>
    <row r="36" spans="1:6" ht="15">
      <c r="A36" s="2"/>
      <c r="B36" s="2"/>
      <c r="C36" s="2"/>
      <c r="D36" s="2"/>
      <c r="E36" s="2"/>
      <c r="F36" s="2"/>
    </row>
    <row r="37" spans="1:6" ht="15">
      <c r="A37" s="34"/>
      <c r="B37" s="34"/>
      <c r="C37" s="34"/>
      <c r="D37" s="34"/>
      <c r="E37" s="34"/>
      <c r="F37" s="35"/>
    </row>
    <row r="38" spans="1:6" ht="105">
      <c r="A38" s="11" t="s">
        <v>28</v>
      </c>
      <c r="B38" s="11" t="s">
        <v>29</v>
      </c>
      <c r="C38" s="11" t="s">
        <v>30</v>
      </c>
      <c r="D38" s="11" t="s">
        <v>31</v>
      </c>
      <c r="E38" s="11" t="s">
        <v>47</v>
      </c>
      <c r="F38" s="11" t="s">
        <v>33</v>
      </c>
    </row>
    <row r="39" spans="1:6" ht="15">
      <c r="A39" s="11">
        <v>1</v>
      </c>
      <c r="B39" s="8" t="s">
        <v>123</v>
      </c>
      <c r="C39" s="11" t="s">
        <v>48</v>
      </c>
      <c r="D39" s="36">
        <v>1053.25</v>
      </c>
      <c r="E39" s="50">
        <f>D39/12/$D$2</f>
        <v>1.0888330645494768</v>
      </c>
      <c r="F39" s="38">
        <v>2</v>
      </c>
    </row>
    <row r="40" spans="1:6" ht="15">
      <c r="A40" s="51"/>
      <c r="B40" s="51" t="s">
        <v>36</v>
      </c>
      <c r="C40" s="51"/>
      <c r="D40" s="52">
        <f>SUM(D39:D39)</f>
        <v>1053.25</v>
      </c>
      <c r="E40" s="53">
        <f>SUM(E39:E39)</f>
        <v>1.0888330645494768</v>
      </c>
      <c r="F40" s="51"/>
    </row>
    <row r="42" spans="2:3" ht="29.25">
      <c r="B42" s="30" t="s">
        <v>313</v>
      </c>
      <c r="C42" s="43">
        <v>3396.0950967007657</v>
      </c>
    </row>
  </sheetData>
  <sheetProtection/>
  <mergeCells count="7">
    <mergeCell ref="A4:E4"/>
    <mergeCell ref="A29:F29"/>
    <mergeCell ref="A32:C32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46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156</v>
      </c>
    </row>
    <row r="2" spans="1:6" ht="32.25" customHeight="1">
      <c r="A2" s="2"/>
      <c r="B2" s="1" t="s">
        <v>157</v>
      </c>
      <c r="C2" s="4"/>
      <c r="D2" s="5">
        <v>232.1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30.75" customHeight="1">
      <c r="A7" s="145" t="s">
        <v>8</v>
      </c>
      <c r="B7" s="146"/>
      <c r="C7" s="146"/>
      <c r="D7" s="12">
        <f>SUM(D8:D15)</f>
        <v>4063.106178830334</v>
      </c>
      <c r="E7" s="12">
        <f>SUM(E8:E15)</f>
        <v>1.458820256653143</v>
      </c>
      <c r="F7" s="13"/>
    </row>
    <row r="8" spans="1:6" ht="34.5" customHeight="1">
      <c r="A8" s="15">
        <v>1</v>
      </c>
      <c r="B8" s="8" t="s">
        <v>153</v>
      </c>
      <c r="C8" s="16" t="s">
        <v>147</v>
      </c>
      <c r="D8" s="17">
        <f>E8*$D$2*12</f>
        <v>290.52344966515943</v>
      </c>
      <c r="E8" s="60">
        <v>0.10430972629080837</v>
      </c>
      <c r="F8" s="2"/>
    </row>
    <row r="9" spans="1:8" ht="15.75" customHeight="1">
      <c r="A9" s="15">
        <v>2</v>
      </c>
      <c r="B9" s="8" t="s">
        <v>146</v>
      </c>
      <c r="C9" s="16" t="s">
        <v>147</v>
      </c>
      <c r="D9" s="17">
        <f aca="true" t="shared" si="0" ref="D9:D15">E9*$D$2*12</f>
        <v>107.75030542331324</v>
      </c>
      <c r="E9" s="60">
        <v>0.038686738985822644</v>
      </c>
      <c r="F9" s="2"/>
      <c r="H9" s="56"/>
    </row>
    <row r="10" spans="1:9" ht="15.75" customHeight="1">
      <c r="A10" s="15">
        <v>3</v>
      </c>
      <c r="B10" s="8" t="s">
        <v>9</v>
      </c>
      <c r="C10" s="16" t="s">
        <v>10</v>
      </c>
      <c r="D10" s="17">
        <f t="shared" si="0"/>
        <v>521.7272931532327</v>
      </c>
      <c r="E10" s="60">
        <v>0.1873213030135117</v>
      </c>
      <c r="F10" s="2"/>
      <c r="H10" s="61"/>
      <c r="I10" s="61"/>
    </row>
    <row r="11" spans="1:9" ht="30">
      <c r="A11" s="15">
        <v>4</v>
      </c>
      <c r="B11" s="8" t="s">
        <v>158</v>
      </c>
      <c r="C11" s="22" t="s">
        <v>149</v>
      </c>
      <c r="D11" s="17">
        <f t="shared" si="0"/>
        <v>371.4078191742096</v>
      </c>
      <c r="E11" s="60">
        <v>0.13335050236040843</v>
      </c>
      <c r="F11" s="2"/>
      <c r="H11" s="61"/>
      <c r="I11" s="56"/>
    </row>
    <row r="12" spans="1:9" ht="60">
      <c r="A12" s="15">
        <v>5</v>
      </c>
      <c r="B12" s="16" t="s">
        <v>159</v>
      </c>
      <c r="C12" s="16" t="s">
        <v>160</v>
      </c>
      <c r="D12" s="17">
        <f t="shared" si="0"/>
        <v>1980.8417022624508</v>
      </c>
      <c r="E12" s="60">
        <v>0.7112026792555116</v>
      </c>
      <c r="F12" s="2"/>
      <c r="H12" s="56"/>
      <c r="I12" s="61"/>
    </row>
    <row r="13" spans="1:6" ht="15.75" customHeight="1">
      <c r="A13" s="15">
        <v>6</v>
      </c>
      <c r="B13" s="22" t="s">
        <v>148</v>
      </c>
      <c r="C13" s="22" t="s">
        <v>149</v>
      </c>
      <c r="D13" s="17">
        <f>E13*$D$2*12</f>
        <v>31.00289273225819</v>
      </c>
      <c r="E13" s="18">
        <v>0.011131298553876989</v>
      </c>
      <c r="F13" s="2"/>
    </row>
    <row r="14" spans="1:9" ht="15.75" customHeight="1">
      <c r="A14" s="15">
        <v>7</v>
      </c>
      <c r="B14" s="22" t="s">
        <v>46</v>
      </c>
      <c r="C14" s="22" t="s">
        <v>161</v>
      </c>
      <c r="D14" s="17">
        <f t="shared" si="0"/>
        <v>712.9994270135137</v>
      </c>
      <c r="E14" s="60">
        <v>0.2559957730193572</v>
      </c>
      <c r="F14" s="2"/>
      <c r="H14" s="62"/>
      <c r="I14" s="61"/>
    </row>
    <row r="15" spans="1:9" ht="15.75" customHeight="1">
      <c r="A15" s="15">
        <v>8</v>
      </c>
      <c r="B15" s="22" t="s">
        <v>150</v>
      </c>
      <c r="C15" s="22" t="s">
        <v>18</v>
      </c>
      <c r="D15" s="17">
        <f t="shared" si="0"/>
        <v>46.853289406196254</v>
      </c>
      <c r="E15" s="60">
        <v>0.016822235173846133</v>
      </c>
      <c r="F15" s="21"/>
      <c r="H15" s="62"/>
      <c r="I15" s="56"/>
    </row>
    <row r="16" spans="1:9" ht="15">
      <c r="A16" s="140" t="s">
        <v>11</v>
      </c>
      <c r="B16" s="141"/>
      <c r="C16" s="142"/>
      <c r="D16" s="12">
        <f>SUM(D17:D18)</f>
        <v>1036.1985776192564</v>
      </c>
      <c r="E16" s="12">
        <f>SUM(E17:E18)</f>
        <v>0.37203740399944574</v>
      </c>
      <c r="F16" s="19"/>
      <c r="H16" s="62"/>
      <c r="I16" s="56"/>
    </row>
    <row r="17" spans="1:6" ht="15.75" customHeight="1">
      <c r="A17" s="15">
        <v>9</v>
      </c>
      <c r="B17" s="8" t="s">
        <v>12</v>
      </c>
      <c r="C17" s="16" t="s">
        <v>13</v>
      </c>
      <c r="D17" s="17">
        <f>E17*$D$2*12</f>
        <v>948.0316355162455</v>
      </c>
      <c r="E17" s="63">
        <v>0.34038188838009675</v>
      </c>
      <c r="F17" s="21"/>
    </row>
    <row r="18" spans="1:6" ht="30">
      <c r="A18" s="15">
        <v>10</v>
      </c>
      <c r="B18" s="22" t="s">
        <v>14</v>
      </c>
      <c r="C18" s="22" t="s">
        <v>15</v>
      </c>
      <c r="D18" s="17">
        <f>E18*$D$2*12</f>
        <v>88.16694210301083</v>
      </c>
      <c r="E18" s="63">
        <v>0.031655515619349</v>
      </c>
      <c r="F18" s="21"/>
    </row>
    <row r="19" spans="1:6" ht="30" customHeight="1">
      <c r="A19" s="140" t="s">
        <v>16</v>
      </c>
      <c r="B19" s="143"/>
      <c r="C19" s="144"/>
      <c r="D19" s="23">
        <f>SUM(D20:D21)</f>
        <v>212.486203030483</v>
      </c>
      <c r="E19" s="23">
        <f>SUM(E20:E21)</f>
        <v>0.07629118304986465</v>
      </c>
      <c r="F19" s="21"/>
    </row>
    <row r="20" spans="1:6" ht="34.5" customHeight="1">
      <c r="A20" s="15">
        <v>11</v>
      </c>
      <c r="B20" s="22" t="s">
        <v>17</v>
      </c>
      <c r="C20" s="22" t="s">
        <v>18</v>
      </c>
      <c r="D20" s="17">
        <f>E20*12*$D$2</f>
        <v>94.38045990249844</v>
      </c>
      <c r="E20" s="60">
        <v>0.033886421047859556</v>
      </c>
      <c r="F20" s="13"/>
    </row>
    <row r="21" spans="1:6" ht="60">
      <c r="A21" s="15">
        <v>12</v>
      </c>
      <c r="B21" s="22" t="s">
        <v>19</v>
      </c>
      <c r="C21" s="22" t="s">
        <v>18</v>
      </c>
      <c r="D21" s="17">
        <f>E21*12*$D$2</f>
        <v>118.10574312798458</v>
      </c>
      <c r="E21" s="17">
        <v>0.042404762002005096</v>
      </c>
      <c r="F21" s="2"/>
    </row>
    <row r="22" spans="1:6" ht="15">
      <c r="A22" s="145" t="s">
        <v>20</v>
      </c>
      <c r="B22" s="146"/>
      <c r="C22" s="146"/>
      <c r="D22" s="24">
        <f>SUM(D23:D24)</f>
        <v>4424.006354742148</v>
      </c>
      <c r="E22" s="24">
        <f>SUM(E23:E24)</f>
        <v>1.5883980880159947</v>
      </c>
      <c r="F22" s="2"/>
    </row>
    <row r="23" spans="1:10" ht="60">
      <c r="A23" s="15">
        <v>13</v>
      </c>
      <c r="B23" s="22" t="s">
        <v>86</v>
      </c>
      <c r="C23" s="22" t="s">
        <v>18</v>
      </c>
      <c r="D23" s="17">
        <f>E23*12*$D$2</f>
        <v>282.25929427975257</v>
      </c>
      <c r="E23" s="63">
        <v>0.10134255862406742</v>
      </c>
      <c r="F23" s="2"/>
      <c r="H23" s="64"/>
      <c r="I23" s="64"/>
      <c r="J23" s="65"/>
    </row>
    <row r="24" spans="1:10" ht="90">
      <c r="A24" s="15">
        <v>14</v>
      </c>
      <c r="B24" s="22" t="s">
        <v>22</v>
      </c>
      <c r="C24" s="22" t="s">
        <v>79</v>
      </c>
      <c r="D24" s="17">
        <f>E24*12*$D$2</f>
        <v>4141.747060462395</v>
      </c>
      <c r="E24" s="63">
        <v>1.4870555293919272</v>
      </c>
      <c r="F24" s="2"/>
      <c r="H24" s="64"/>
      <c r="I24" s="64"/>
      <c r="J24" s="65"/>
    </row>
    <row r="25" spans="1:6" ht="15">
      <c r="A25" s="145" t="s">
        <v>24</v>
      </c>
      <c r="B25" s="145"/>
      <c r="C25" s="145"/>
      <c r="D25" s="25">
        <f>SUM(D26)</f>
        <v>401.94000000000005</v>
      </c>
      <c r="E25" s="23">
        <f>SUM(E26)</f>
        <v>0.14431279620853082</v>
      </c>
      <c r="F25" s="2"/>
    </row>
    <row r="26" spans="1:6" ht="15">
      <c r="A26" s="15">
        <v>15</v>
      </c>
      <c r="B26" s="22" t="s">
        <v>25</v>
      </c>
      <c r="C26" s="22" t="s">
        <v>26</v>
      </c>
      <c r="D26" s="17">
        <f>E26*12*$D$2</f>
        <v>401.94000000000005</v>
      </c>
      <c r="E26" s="63">
        <v>0.14431279620853082</v>
      </c>
      <c r="F26" s="2"/>
    </row>
    <row r="27" spans="1:6" ht="15">
      <c r="A27" s="145" t="s">
        <v>151</v>
      </c>
      <c r="B27" s="145"/>
      <c r="C27" s="145"/>
      <c r="D27" s="25">
        <f>SUM(D28:D28)</f>
        <v>105.01860212820269</v>
      </c>
      <c r="E27" s="23">
        <f>SUM(E28:E28)</f>
        <v>0.037705946477165984</v>
      </c>
      <c r="F27" s="2"/>
    </row>
    <row r="28" spans="1:6" ht="30">
      <c r="A28" s="15">
        <v>16</v>
      </c>
      <c r="B28" s="22" t="s">
        <v>152</v>
      </c>
      <c r="C28" s="22" t="s">
        <v>15</v>
      </c>
      <c r="D28" s="17">
        <f>E28*12*$D$2</f>
        <v>105.01860212820269</v>
      </c>
      <c r="E28" s="63">
        <v>0.037705946477165984</v>
      </c>
      <c r="F28" s="2"/>
    </row>
    <row r="29" spans="1:6" ht="15">
      <c r="A29" s="9"/>
      <c r="B29" s="27" t="s">
        <v>27</v>
      </c>
      <c r="C29" s="27"/>
      <c r="D29" s="48">
        <f>D7+D16+D19+D22+D25+D27</f>
        <v>10242.755916350425</v>
      </c>
      <c r="E29" s="12">
        <f>E7+E16+E19+E22+E25+E27</f>
        <v>3.677565674404145</v>
      </c>
      <c r="F29" s="6"/>
    </row>
    <row r="30" spans="1:6" ht="15">
      <c r="A30" s="29"/>
      <c r="B30" s="30"/>
      <c r="C30" s="31"/>
      <c r="D30" s="32"/>
      <c r="E30" s="33"/>
      <c r="F30" s="2"/>
    </row>
    <row r="31" spans="1:6" ht="15">
      <c r="A31" s="30"/>
      <c r="B31" s="30"/>
      <c r="C31" s="30"/>
      <c r="D31" s="30"/>
      <c r="E31" s="30"/>
      <c r="F31" s="29"/>
    </row>
    <row r="32" spans="1:6" ht="105">
      <c r="A32" s="11" t="s">
        <v>28</v>
      </c>
      <c r="B32" s="11" t="s">
        <v>29</v>
      </c>
      <c r="C32" s="11" t="s">
        <v>30</v>
      </c>
      <c r="D32" s="11" t="s">
        <v>31</v>
      </c>
      <c r="E32" s="11" t="s">
        <v>32</v>
      </c>
      <c r="F32" s="11" t="s">
        <v>33</v>
      </c>
    </row>
    <row r="33" spans="1:6" ht="15">
      <c r="A33" s="11">
        <v>1</v>
      </c>
      <c r="B33" s="8" t="s">
        <v>162</v>
      </c>
      <c r="C33" s="11" t="s">
        <v>163</v>
      </c>
      <c r="D33" s="11">
        <v>5527.5</v>
      </c>
      <c r="E33" s="37">
        <f>D33/12/$D$2</f>
        <v>1.9845971563981044</v>
      </c>
      <c r="F33" s="38">
        <v>2</v>
      </c>
    </row>
    <row r="34" spans="1:6" ht="15">
      <c r="A34" s="11">
        <v>2</v>
      </c>
      <c r="B34" s="8" t="s">
        <v>123</v>
      </c>
      <c r="C34" s="11" t="s">
        <v>164</v>
      </c>
      <c r="D34" s="11">
        <v>551.1</v>
      </c>
      <c r="E34" s="37">
        <f>D34/12/$D$2</f>
        <v>0.19786729857819907</v>
      </c>
      <c r="F34" s="38">
        <v>2</v>
      </c>
    </row>
    <row r="35" spans="1:6" ht="15">
      <c r="A35" s="11"/>
      <c r="B35" s="39" t="s">
        <v>36</v>
      </c>
      <c r="C35" s="10"/>
      <c r="D35" s="54">
        <f>SUM(D33:D34)</f>
        <v>6078.6</v>
      </c>
      <c r="E35" s="86">
        <f>D35/12/$D$2</f>
        <v>2.1824644549763033</v>
      </c>
      <c r="F35" s="41"/>
    </row>
    <row r="36" spans="1:6" ht="15">
      <c r="A36" s="29"/>
      <c r="B36" s="30"/>
      <c r="C36" s="42"/>
      <c r="D36" s="42"/>
      <c r="E36" s="42"/>
      <c r="F36" s="42"/>
    </row>
    <row r="37" spans="1:6" ht="29.25">
      <c r="A37" s="29"/>
      <c r="B37" s="30" t="s">
        <v>37</v>
      </c>
      <c r="C37" s="43">
        <f>D29+D35</f>
        <v>16321.355916350425</v>
      </c>
      <c r="D37" s="43"/>
      <c r="E37" s="43"/>
      <c r="F37" s="42"/>
    </row>
    <row r="38" spans="1:6" ht="15">
      <c r="A38" s="29"/>
      <c r="B38" s="30" t="s">
        <v>38</v>
      </c>
      <c r="C38" s="44">
        <f>E29+E35</f>
        <v>5.860030129380448</v>
      </c>
      <c r="D38" s="42"/>
      <c r="E38" s="42"/>
      <c r="F38" s="42"/>
    </row>
    <row r="39" spans="1:6" ht="15">
      <c r="A39" s="29"/>
      <c r="B39" s="30"/>
      <c r="C39" s="44"/>
      <c r="D39" s="42"/>
      <c r="E39" s="42"/>
      <c r="F39" s="42"/>
    </row>
    <row r="40" spans="1:6" ht="33" customHeight="1">
      <c r="A40" s="138" t="s">
        <v>39</v>
      </c>
      <c r="B40" s="138"/>
      <c r="C40" s="138"/>
      <c r="D40" s="138"/>
      <c r="E40" s="138"/>
      <c r="F40" s="138"/>
    </row>
    <row r="41" spans="1:6" ht="15">
      <c r="A41" s="1"/>
      <c r="B41" s="1"/>
      <c r="C41" s="1"/>
      <c r="D41" s="2"/>
      <c r="E41" s="2"/>
      <c r="F41" s="2"/>
    </row>
    <row r="42" spans="1:6" ht="71.25">
      <c r="A42" s="8"/>
      <c r="B42" s="9" t="s">
        <v>4</v>
      </c>
      <c r="C42" s="9" t="s">
        <v>5</v>
      </c>
      <c r="D42" s="9" t="s">
        <v>6</v>
      </c>
      <c r="E42" s="9" t="s">
        <v>7</v>
      </c>
      <c r="F42" s="2"/>
    </row>
    <row r="43" spans="1:5" ht="30.75" customHeight="1">
      <c r="A43" s="139" t="s">
        <v>40</v>
      </c>
      <c r="B43" s="139"/>
      <c r="C43" s="139"/>
      <c r="D43" s="12">
        <f>D44</f>
        <v>27.851999999999997</v>
      </c>
      <c r="E43" s="12">
        <f>E44</f>
        <v>0.01</v>
      </c>
    </row>
    <row r="44" spans="1:5" ht="30">
      <c r="A44" s="15">
        <v>1</v>
      </c>
      <c r="B44" s="45" t="s">
        <v>41</v>
      </c>
      <c r="C44" s="45" t="s">
        <v>42</v>
      </c>
      <c r="D44" s="17">
        <f>E44*12*$D$2</f>
        <v>27.851999999999997</v>
      </c>
      <c r="E44" s="46">
        <v>0.01</v>
      </c>
    </row>
    <row r="45" spans="1:5" ht="32.25" customHeight="1">
      <c r="A45" s="139" t="s">
        <v>43</v>
      </c>
      <c r="B45" s="139"/>
      <c r="C45" s="139"/>
      <c r="D45" s="12">
        <f>D46+D47+D48</f>
        <v>835.5599999999998</v>
      </c>
      <c r="E45" s="12">
        <f>E46+E47+E48</f>
        <v>0.3</v>
      </c>
    </row>
    <row r="46" spans="1:5" ht="28.5" customHeight="1">
      <c r="A46" s="15">
        <v>2</v>
      </c>
      <c r="B46" s="45" t="s">
        <v>44</v>
      </c>
      <c r="C46" s="45" t="s">
        <v>45</v>
      </c>
      <c r="D46" s="17">
        <f>E46*$D$2*12</f>
        <v>55.70400000000001</v>
      </c>
      <c r="E46" s="46">
        <v>0.02</v>
      </c>
    </row>
    <row r="47" spans="1:5" ht="30">
      <c r="A47" s="15">
        <v>3</v>
      </c>
      <c r="B47" s="87" t="s">
        <v>153</v>
      </c>
      <c r="C47" s="87" t="s">
        <v>154</v>
      </c>
      <c r="D47" s="17">
        <f>E47*$D$2*12</f>
        <v>612.7439999999999</v>
      </c>
      <c r="E47" s="46">
        <v>0.22</v>
      </c>
    </row>
    <row r="48" spans="1:5" ht="30">
      <c r="A48" s="15">
        <v>4</v>
      </c>
      <c r="B48" s="47" t="s">
        <v>46</v>
      </c>
      <c r="C48" s="8" t="s">
        <v>165</v>
      </c>
      <c r="D48" s="17">
        <f>E48*$D$2*12</f>
        <v>167.11199999999997</v>
      </c>
      <c r="E48" s="18">
        <v>0.06</v>
      </c>
    </row>
    <row r="49" spans="1:6" ht="15">
      <c r="A49" s="9"/>
      <c r="B49" s="27" t="s">
        <v>27</v>
      </c>
      <c r="C49" s="27"/>
      <c r="D49" s="48">
        <f>D43+D45</f>
        <v>863.4119999999998</v>
      </c>
      <c r="E49" s="12">
        <f>E43+E45</f>
        <v>0.31</v>
      </c>
      <c r="F49" s="6"/>
    </row>
    <row r="50" spans="1:6" ht="15">
      <c r="A50" s="2"/>
      <c r="B50" s="2"/>
      <c r="C50" s="2"/>
      <c r="D50" s="2"/>
      <c r="E50" s="2"/>
      <c r="F50" s="2"/>
    </row>
    <row r="51" spans="1:6" ht="105">
      <c r="A51" s="11" t="s">
        <v>28</v>
      </c>
      <c r="B51" s="11" t="s">
        <v>29</v>
      </c>
      <c r="C51" s="11" t="s">
        <v>30</v>
      </c>
      <c r="D51" s="11" t="s">
        <v>31</v>
      </c>
      <c r="E51" s="11" t="s">
        <v>47</v>
      </c>
      <c r="F51" s="11" t="s">
        <v>33</v>
      </c>
    </row>
    <row r="52" spans="1:6" ht="15">
      <c r="A52" s="11">
        <v>1</v>
      </c>
      <c r="B52" s="8" t="s">
        <v>123</v>
      </c>
      <c r="C52" s="11" t="s">
        <v>81</v>
      </c>
      <c r="D52" s="36">
        <v>1464.8</v>
      </c>
      <c r="E52" s="50">
        <f>D52/12/$D$2</f>
        <v>0.5259227344535401</v>
      </c>
      <c r="F52" s="38">
        <v>2</v>
      </c>
    </row>
    <row r="53" spans="1:6" ht="15">
      <c r="A53" s="51"/>
      <c r="B53" s="51" t="s">
        <v>36</v>
      </c>
      <c r="C53" s="51"/>
      <c r="D53" s="52">
        <f>SUM(D52:D52)</f>
        <v>1464.8</v>
      </c>
      <c r="E53" s="53">
        <f>SUM(E52:E52)</f>
        <v>0.5259227344535401</v>
      </c>
      <c r="F53" s="51"/>
    </row>
    <row r="55" spans="1:3" ht="29.25" customHeight="1">
      <c r="A55" s="147" t="s">
        <v>166</v>
      </c>
      <c r="B55" s="148"/>
      <c r="C55" s="81">
        <v>16321.355916350425</v>
      </c>
    </row>
  </sheetData>
  <mergeCells count="11">
    <mergeCell ref="A55:B55"/>
    <mergeCell ref="A43:C43"/>
    <mergeCell ref="A45:C45"/>
    <mergeCell ref="A22:C22"/>
    <mergeCell ref="A25:C25"/>
    <mergeCell ref="A27:C27"/>
    <mergeCell ref="A40:F40"/>
    <mergeCell ref="A4:E4"/>
    <mergeCell ref="A7:C7"/>
    <mergeCell ref="A16:C16"/>
    <mergeCell ref="A19:C19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34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167</v>
      </c>
    </row>
    <row r="2" spans="1:6" ht="31.5" customHeight="1">
      <c r="A2" s="2"/>
      <c r="B2" s="1" t="s">
        <v>168</v>
      </c>
      <c r="C2" s="4"/>
      <c r="D2" s="5">
        <v>68.12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79" t="s">
        <v>7</v>
      </c>
      <c r="F6" s="2"/>
    </row>
    <row r="7" spans="1:9" ht="15">
      <c r="A7" s="140" t="s">
        <v>61</v>
      </c>
      <c r="B7" s="141"/>
      <c r="C7" s="142"/>
      <c r="D7" s="12">
        <f>SUM(D8:D9)</f>
        <v>444.08510469396685</v>
      </c>
      <c r="E7" s="12">
        <f>SUM(E8:E9)</f>
        <v>0.5432632421877653</v>
      </c>
      <c r="F7" s="19"/>
      <c r="H7" s="62"/>
      <c r="I7" s="61"/>
    </row>
    <row r="8" spans="1:9" ht="15.75" customHeight="1">
      <c r="A8" s="15">
        <v>1</v>
      </c>
      <c r="B8" s="8" t="s">
        <v>12</v>
      </c>
      <c r="C8" s="16" t="s">
        <v>13</v>
      </c>
      <c r="D8" s="17">
        <f>E8*$D$2*12</f>
        <v>406.2992723641051</v>
      </c>
      <c r="E8" s="90">
        <v>0.4970386479302519</v>
      </c>
      <c r="F8" s="21"/>
      <c r="H8" s="62"/>
      <c r="I8" s="56"/>
    </row>
    <row r="9" spans="1:9" ht="30">
      <c r="A9" s="15">
        <v>2</v>
      </c>
      <c r="B9" s="22" t="s">
        <v>14</v>
      </c>
      <c r="C9" s="22" t="s">
        <v>15</v>
      </c>
      <c r="D9" s="17">
        <f>E9*$D$2*12</f>
        <v>37.78583232986179</v>
      </c>
      <c r="E9" s="90">
        <v>0.046224594257513435</v>
      </c>
      <c r="F9" s="21"/>
      <c r="H9" s="62"/>
      <c r="I9" s="56"/>
    </row>
    <row r="10" spans="1:6" ht="30" customHeight="1">
      <c r="A10" s="140" t="s">
        <v>64</v>
      </c>
      <c r="B10" s="143"/>
      <c r="C10" s="144"/>
      <c r="D10" s="23">
        <f>SUM(D11:D12)</f>
        <v>46.79461408227914</v>
      </c>
      <c r="E10" s="23">
        <f>SUM(E11:E12)</f>
        <v>0.05724531963481006</v>
      </c>
      <c r="F10" s="21"/>
    </row>
    <row r="11" spans="1:6" ht="30.75" customHeight="1">
      <c r="A11" s="15">
        <v>3</v>
      </c>
      <c r="B11" s="22" t="s">
        <v>17</v>
      </c>
      <c r="C11" s="22" t="s">
        <v>18</v>
      </c>
      <c r="D11" s="17">
        <f>E11*12*$D$2</f>
        <v>25.774522644957486</v>
      </c>
      <c r="E11" s="91">
        <v>0.03153078225307972</v>
      </c>
      <c r="F11" s="13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21.020091437321653</v>
      </c>
      <c r="E12" s="92">
        <v>0.025714537381730344</v>
      </c>
      <c r="F12" s="2"/>
    </row>
    <row r="13" spans="1:8" ht="15">
      <c r="A13" s="145" t="s">
        <v>67</v>
      </c>
      <c r="B13" s="146"/>
      <c r="C13" s="146"/>
      <c r="D13" s="24">
        <f>SUM(D14:D15)</f>
        <v>525.206561736444</v>
      </c>
      <c r="E13" s="24">
        <f>SUM(E14:E15)</f>
        <v>0.6425016658549177</v>
      </c>
      <c r="F13" s="64"/>
      <c r="H13" s="65"/>
    </row>
    <row r="14" spans="1:10" ht="60">
      <c r="A14" s="15">
        <v>5</v>
      </c>
      <c r="B14" s="22" t="s">
        <v>86</v>
      </c>
      <c r="C14" s="22" t="s">
        <v>18</v>
      </c>
      <c r="D14" s="17">
        <f>E14*12*$D$2</f>
        <v>60.0721478569942</v>
      </c>
      <c r="E14" s="63">
        <v>0.0734881432973603</v>
      </c>
      <c r="F14" s="2"/>
      <c r="H14" s="64"/>
      <c r="I14" s="64"/>
      <c r="J14" s="65"/>
    </row>
    <row r="15" spans="1:10" ht="75">
      <c r="A15" s="15">
        <v>6</v>
      </c>
      <c r="B15" s="22" t="s">
        <v>22</v>
      </c>
      <c r="C15" s="22" t="s">
        <v>169</v>
      </c>
      <c r="D15" s="17">
        <f>E15*12*$D$2</f>
        <v>465.13441387944977</v>
      </c>
      <c r="E15" s="63">
        <v>0.5690135225575574</v>
      </c>
      <c r="F15" s="2"/>
      <c r="H15" s="64"/>
      <c r="I15" s="64"/>
      <c r="J15" s="65"/>
    </row>
    <row r="16" spans="1:6" ht="15">
      <c r="A16" s="145" t="s">
        <v>70</v>
      </c>
      <c r="B16" s="145"/>
      <c r="C16" s="145"/>
      <c r="D16" s="25">
        <f>SUM(D17)</f>
        <v>170.82834752205883</v>
      </c>
      <c r="E16" s="23">
        <f>SUM(E17)</f>
        <v>0.2089796774345014</v>
      </c>
      <c r="F16" s="2"/>
    </row>
    <row r="17" spans="1:9" ht="15">
      <c r="A17" s="15">
        <v>7</v>
      </c>
      <c r="B17" s="22" t="s">
        <v>25</v>
      </c>
      <c r="C17" s="22" t="s">
        <v>26</v>
      </c>
      <c r="D17" s="17">
        <f>E17*12*$D$2</f>
        <v>170.82834752205883</v>
      </c>
      <c r="E17" s="63">
        <v>0.2089796774345014</v>
      </c>
      <c r="F17" s="2"/>
      <c r="H17" s="64"/>
      <c r="I17" s="80"/>
    </row>
    <row r="18" spans="1:6" ht="15">
      <c r="A18" s="9"/>
      <c r="B18" s="27" t="s">
        <v>27</v>
      </c>
      <c r="C18" s="27"/>
      <c r="D18" s="48">
        <f>D7+D10+D13+D16</f>
        <v>1186.9146280347488</v>
      </c>
      <c r="E18" s="12">
        <f>E7+E10+E13+E16</f>
        <v>1.4519899051119947</v>
      </c>
      <c r="F18" s="6"/>
    </row>
    <row r="19" spans="1:6" ht="15">
      <c r="A19" s="29"/>
      <c r="B19" s="30"/>
      <c r="C19" s="31"/>
      <c r="D19" s="32"/>
      <c r="E19" s="33"/>
      <c r="F19" s="2"/>
    </row>
    <row r="20" spans="1:6" ht="15">
      <c r="A20" s="30"/>
      <c r="B20" s="30"/>
      <c r="C20" s="30"/>
      <c r="D20" s="30"/>
      <c r="E20" s="30"/>
      <c r="F20" s="29"/>
    </row>
    <row r="21" spans="1:6" ht="105">
      <c r="A21" s="11" t="s">
        <v>28</v>
      </c>
      <c r="B21" s="11" t="s">
        <v>29</v>
      </c>
      <c r="C21" s="11" t="s">
        <v>30</v>
      </c>
      <c r="D21" s="11" t="s">
        <v>31</v>
      </c>
      <c r="E21" s="11" t="s">
        <v>32</v>
      </c>
      <c r="F21" s="11" t="s">
        <v>33</v>
      </c>
    </row>
    <row r="22" spans="1:6" ht="15">
      <c r="A22" s="11">
        <v>1</v>
      </c>
      <c r="B22" s="8" t="s">
        <v>123</v>
      </c>
      <c r="C22" s="11" t="s">
        <v>170</v>
      </c>
      <c r="D22" s="11">
        <v>1780.4</v>
      </c>
      <c r="E22" s="37">
        <f>D22/12/$D$2</f>
        <v>2.1780191818359755</v>
      </c>
      <c r="F22" s="38">
        <v>2</v>
      </c>
    </row>
    <row r="23" spans="1:6" ht="15">
      <c r="A23" s="11"/>
      <c r="B23" s="39" t="s">
        <v>36</v>
      </c>
      <c r="C23" s="10"/>
      <c r="D23" s="54">
        <f>SUM(D22:D22)</f>
        <v>1780.4</v>
      </c>
      <c r="E23" s="40">
        <f>SUM(E22:E22)</f>
        <v>2.1780191818359755</v>
      </c>
      <c r="F23" s="41"/>
    </row>
    <row r="24" spans="1:6" ht="15">
      <c r="A24" s="29"/>
      <c r="B24" s="30"/>
      <c r="C24" s="42"/>
      <c r="D24" s="42"/>
      <c r="E24" s="42"/>
      <c r="F24" s="42"/>
    </row>
    <row r="25" spans="1:6" ht="29.25">
      <c r="A25" s="29"/>
      <c r="B25" s="30" t="s">
        <v>37</v>
      </c>
      <c r="C25" s="43">
        <f>D18+D23</f>
        <v>2967.314628034749</v>
      </c>
      <c r="D25" s="43"/>
      <c r="E25" s="43"/>
      <c r="F25" s="42"/>
    </row>
    <row r="26" spans="1:6" ht="15">
      <c r="A26" s="29"/>
      <c r="B26" s="30" t="s">
        <v>38</v>
      </c>
      <c r="C26" s="44">
        <f>E18+E23</f>
        <v>3.63000908694797</v>
      </c>
      <c r="D26" s="42"/>
      <c r="E26" s="42"/>
      <c r="F26" s="42"/>
    </row>
    <row r="27" spans="1:6" ht="15">
      <c r="A27" s="29"/>
      <c r="B27" s="30"/>
      <c r="C27" s="44"/>
      <c r="D27" s="42"/>
      <c r="E27" s="42"/>
      <c r="F27" s="42"/>
    </row>
    <row r="28" spans="1:6" ht="15.75" customHeight="1">
      <c r="A28" s="2"/>
      <c r="B28" s="2"/>
      <c r="C28" s="2"/>
      <c r="D28" s="2"/>
      <c r="E28" s="2"/>
      <c r="F28" s="2"/>
    </row>
    <row r="29" spans="1:6" ht="33" customHeight="1">
      <c r="A29" s="138" t="s">
        <v>39</v>
      </c>
      <c r="B29" s="138"/>
      <c r="C29" s="138"/>
      <c r="D29" s="138"/>
      <c r="E29" s="138"/>
      <c r="F29" s="13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4</v>
      </c>
      <c r="C31" s="9" t="s">
        <v>5</v>
      </c>
      <c r="D31" s="9" t="s">
        <v>6</v>
      </c>
      <c r="E31" s="9" t="s">
        <v>7</v>
      </c>
      <c r="F31" s="2"/>
    </row>
    <row r="32" spans="1:5" ht="33" customHeight="1">
      <c r="A32" s="139" t="s">
        <v>40</v>
      </c>
      <c r="B32" s="139"/>
      <c r="C32" s="139"/>
      <c r="D32" s="12">
        <f>D33</f>
        <v>8.1744</v>
      </c>
      <c r="E32" s="12">
        <f>E33</f>
        <v>0.01</v>
      </c>
    </row>
    <row r="33" spans="1:5" ht="30">
      <c r="A33" s="15">
        <v>1</v>
      </c>
      <c r="B33" s="45" t="s">
        <v>41</v>
      </c>
      <c r="C33" s="45" t="s">
        <v>42</v>
      </c>
      <c r="D33" s="17">
        <f>E33*12*$D$2</f>
        <v>8.1744</v>
      </c>
      <c r="E33" s="46">
        <v>0.01</v>
      </c>
    </row>
    <row r="34" spans="1:5" ht="32.25" customHeight="1">
      <c r="A34" s="139" t="s">
        <v>43</v>
      </c>
      <c r="B34" s="139"/>
      <c r="C34" s="139"/>
      <c r="D34" s="12">
        <f>D35</f>
        <v>49.046400000000006</v>
      </c>
      <c r="E34" s="12">
        <f>E35</f>
        <v>0.06</v>
      </c>
    </row>
    <row r="35" spans="1:5" ht="15">
      <c r="A35" s="15">
        <v>2</v>
      </c>
      <c r="B35" s="47" t="s">
        <v>46</v>
      </c>
      <c r="C35" s="8" t="s">
        <v>42</v>
      </c>
      <c r="D35" s="17">
        <f>E35*$D$2*12</f>
        <v>49.046400000000006</v>
      </c>
      <c r="E35" s="18">
        <v>0.06</v>
      </c>
    </row>
    <row r="36" spans="1:6" ht="15">
      <c r="A36" s="9"/>
      <c r="B36" s="27" t="s">
        <v>27</v>
      </c>
      <c r="C36" s="27"/>
      <c r="D36" s="48">
        <f>D32+D34</f>
        <v>57.220800000000004</v>
      </c>
      <c r="E36" s="12">
        <f>E32+E34</f>
        <v>0.06999999999999999</v>
      </c>
      <c r="F36" s="6"/>
    </row>
    <row r="37" spans="1:6" ht="15">
      <c r="A37" s="2"/>
      <c r="B37" s="2"/>
      <c r="C37" s="2"/>
      <c r="D37" s="2"/>
      <c r="E37" s="2"/>
      <c r="F37" s="2"/>
    </row>
    <row r="38" spans="1:6" ht="15">
      <c r="A38" s="34"/>
      <c r="B38" s="34"/>
      <c r="C38" s="34"/>
      <c r="D38" s="34"/>
      <c r="E38" s="34"/>
      <c r="F38" s="35"/>
    </row>
    <row r="39" spans="1:6" ht="105">
      <c r="A39" s="11" t="s">
        <v>28</v>
      </c>
      <c r="B39" s="11" t="s">
        <v>29</v>
      </c>
      <c r="C39" s="11" t="s">
        <v>30</v>
      </c>
      <c r="D39" s="11" t="s">
        <v>31</v>
      </c>
      <c r="E39" s="11" t="s">
        <v>47</v>
      </c>
      <c r="F39" s="11" t="s">
        <v>33</v>
      </c>
    </row>
    <row r="40" spans="1:6" ht="15">
      <c r="A40" s="11">
        <v>1</v>
      </c>
      <c r="B40" s="8" t="s">
        <v>123</v>
      </c>
      <c r="C40" s="11" t="s">
        <v>171</v>
      </c>
      <c r="D40" s="36">
        <v>921.75</v>
      </c>
      <c r="E40" s="50">
        <f>D40/12/$D$2</f>
        <v>1.1276056958308867</v>
      </c>
      <c r="F40" s="38">
        <v>2</v>
      </c>
    </row>
    <row r="41" spans="1:6" ht="15">
      <c r="A41" s="51"/>
      <c r="B41" s="51" t="s">
        <v>36</v>
      </c>
      <c r="C41" s="51"/>
      <c r="D41" s="52">
        <f>SUM(D40:D40)</f>
        <v>921.75</v>
      </c>
      <c r="E41" s="53">
        <f>SUM(E40:E40)</f>
        <v>1.1276056958308867</v>
      </c>
      <c r="F41" s="51"/>
    </row>
    <row r="43" spans="1:3" ht="30" customHeight="1">
      <c r="A43" s="149" t="s">
        <v>172</v>
      </c>
      <c r="B43" s="148"/>
      <c r="C43" s="81">
        <v>2967.314628034749</v>
      </c>
    </row>
  </sheetData>
  <mergeCells count="9">
    <mergeCell ref="A43:B43"/>
    <mergeCell ref="A4:E4"/>
    <mergeCell ref="A7:C7"/>
    <mergeCell ref="A10:C10"/>
    <mergeCell ref="A34:C34"/>
    <mergeCell ref="A13:C13"/>
    <mergeCell ref="A16:C16"/>
    <mergeCell ref="A29:F29"/>
    <mergeCell ref="A32:C32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37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173</v>
      </c>
    </row>
    <row r="2" spans="1:6" ht="19.5" customHeight="1">
      <c r="A2" s="2"/>
      <c r="B2" s="1" t="s">
        <v>174</v>
      </c>
      <c r="C2" s="4"/>
      <c r="D2" s="5">
        <v>139.65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79" t="s">
        <v>7</v>
      </c>
      <c r="F6" s="2"/>
    </row>
    <row r="7" spans="1:6" ht="30.75" customHeight="1">
      <c r="A7" s="145" t="s">
        <v>8</v>
      </c>
      <c r="B7" s="146"/>
      <c r="C7" s="146"/>
      <c r="D7" s="12">
        <f>SUM(D8:D8)</f>
        <v>326.0795582207703</v>
      </c>
      <c r="E7" s="12">
        <f>SUM(E8:E8)</f>
        <v>0.19458142870316883</v>
      </c>
      <c r="F7" s="13"/>
    </row>
    <row r="8" spans="1:9" ht="15.75" customHeight="1">
      <c r="A8" s="15">
        <v>1</v>
      </c>
      <c r="B8" s="8" t="s">
        <v>9</v>
      </c>
      <c r="C8" s="16" t="s">
        <v>10</v>
      </c>
      <c r="D8" s="17">
        <f>E8*$D$2*12</f>
        <v>326.0795582207703</v>
      </c>
      <c r="E8" s="60">
        <v>0.19458142870316883</v>
      </c>
      <c r="F8" s="2"/>
      <c r="H8" s="61"/>
      <c r="I8" s="61"/>
    </row>
    <row r="9" spans="1:9" ht="15">
      <c r="A9" s="140" t="s">
        <v>11</v>
      </c>
      <c r="B9" s="141"/>
      <c r="C9" s="142"/>
      <c r="D9" s="12">
        <f>SUM(D10:D11)</f>
        <v>1628.3120505445452</v>
      </c>
      <c r="E9" s="12">
        <f>SUM(E10:E11)</f>
        <v>0.9716625197186687</v>
      </c>
      <c r="F9" s="19"/>
      <c r="H9" s="62"/>
      <c r="I9" s="61"/>
    </row>
    <row r="10" spans="1:9" ht="15.75" customHeight="1">
      <c r="A10" s="15">
        <v>2</v>
      </c>
      <c r="B10" s="8" t="s">
        <v>12</v>
      </c>
      <c r="C10" s="16" t="s">
        <v>13</v>
      </c>
      <c r="D10" s="17">
        <f>E10*$D$2*12</f>
        <v>1489.7639986683853</v>
      </c>
      <c r="E10" s="63">
        <v>0.8889867518011607</v>
      </c>
      <c r="F10" s="21"/>
      <c r="H10" s="62"/>
      <c r="I10" s="56"/>
    </row>
    <row r="11" spans="1:9" ht="30">
      <c r="A11" s="15">
        <v>3</v>
      </c>
      <c r="B11" s="22" t="s">
        <v>14</v>
      </c>
      <c r="C11" s="22" t="s">
        <v>15</v>
      </c>
      <c r="D11" s="17">
        <f>E11*$D$2*12</f>
        <v>138.5480518761599</v>
      </c>
      <c r="E11" s="63">
        <v>0.08267576791750798</v>
      </c>
      <c r="F11" s="21"/>
      <c r="H11" s="62"/>
      <c r="I11" s="56"/>
    </row>
    <row r="12" spans="1:6" ht="30" customHeight="1">
      <c r="A12" s="140" t="s">
        <v>16</v>
      </c>
      <c r="B12" s="143"/>
      <c r="C12" s="144"/>
      <c r="D12" s="23">
        <f>SUM(D13:D14)</f>
        <v>104.91833779173857</v>
      </c>
      <c r="E12" s="23">
        <f>SUM(E13:E14)</f>
        <v>0.06260791132100403</v>
      </c>
      <c r="F12" s="21"/>
    </row>
    <row r="13" spans="1:6" ht="27" customHeight="1">
      <c r="A13" s="15">
        <v>4</v>
      </c>
      <c r="B13" s="22" t="s">
        <v>17</v>
      </c>
      <c r="C13" s="22" t="s">
        <v>18</v>
      </c>
      <c r="D13" s="17">
        <f>E13*12*$D$2</f>
        <v>47.19022995124922</v>
      </c>
      <c r="E13" s="60">
        <v>0.02815982214539278</v>
      </c>
      <c r="F13" s="13"/>
    </row>
    <row r="14" spans="1:6" ht="60">
      <c r="A14" s="15">
        <v>5</v>
      </c>
      <c r="B14" s="22" t="s">
        <v>19</v>
      </c>
      <c r="C14" s="22" t="s">
        <v>18</v>
      </c>
      <c r="D14" s="17">
        <f>E14*12*$D$2</f>
        <v>57.72810784048934</v>
      </c>
      <c r="E14" s="17">
        <v>0.034448089175611256</v>
      </c>
      <c r="F14" s="2"/>
    </row>
    <row r="15" spans="1:6" ht="15">
      <c r="A15" s="145" t="s">
        <v>20</v>
      </c>
      <c r="B15" s="146"/>
      <c r="C15" s="146"/>
      <c r="D15" s="24">
        <f>SUM(D16:D17)</f>
        <v>454.7857491208126</v>
      </c>
      <c r="E15" s="24">
        <f>SUM(E16:E17)</f>
        <v>0.2713842637073712</v>
      </c>
      <c r="F15" s="2"/>
    </row>
    <row r="16" spans="1:10" ht="60">
      <c r="A16" s="15">
        <v>6</v>
      </c>
      <c r="B16" s="22" t="s">
        <v>86</v>
      </c>
      <c r="C16" s="22" t="s">
        <v>18</v>
      </c>
      <c r="D16" s="17">
        <f>E16*12*$D$2</f>
        <v>16.063368546622037</v>
      </c>
      <c r="E16" s="63">
        <v>0.009585492628369755</v>
      </c>
      <c r="F16" s="2"/>
      <c r="H16" s="64"/>
      <c r="I16" s="64"/>
      <c r="J16" s="65"/>
    </row>
    <row r="17" spans="1:10" ht="60">
      <c r="A17" s="15">
        <v>7</v>
      </c>
      <c r="B17" s="22" t="s">
        <v>22</v>
      </c>
      <c r="C17" s="22" t="s">
        <v>87</v>
      </c>
      <c r="D17" s="17">
        <f>E17*12*$D$2</f>
        <v>438.7223805741906</v>
      </c>
      <c r="E17" s="63">
        <v>0.2617987710790014</v>
      </c>
      <c r="F17" s="2"/>
      <c r="H17" s="64"/>
      <c r="I17" s="64"/>
      <c r="J17" s="65"/>
    </row>
    <row r="18" spans="1:6" ht="15">
      <c r="A18" s="145" t="s">
        <v>24</v>
      </c>
      <c r="B18" s="145"/>
      <c r="C18" s="145"/>
      <c r="D18" s="25">
        <f>SUM(D19)</f>
        <v>287.91748755256685</v>
      </c>
      <c r="E18" s="23">
        <f>SUM(E19)</f>
        <v>0.17180897932484002</v>
      </c>
      <c r="F18" s="2"/>
    </row>
    <row r="19" spans="1:6" ht="15">
      <c r="A19" s="15">
        <v>8</v>
      </c>
      <c r="B19" s="22" t="s">
        <v>25</v>
      </c>
      <c r="C19" s="22" t="s">
        <v>26</v>
      </c>
      <c r="D19" s="17">
        <f>E19*12*$D$2</f>
        <v>287.91748755256685</v>
      </c>
      <c r="E19" s="63">
        <f>0.16630897932484+0.0055</f>
        <v>0.17180897932484002</v>
      </c>
      <c r="F19" s="2"/>
    </row>
    <row r="20" spans="1:6" ht="15">
      <c r="A20" s="9"/>
      <c r="B20" s="27" t="s">
        <v>27</v>
      </c>
      <c r="C20" s="27"/>
      <c r="D20" s="48">
        <f>D7+D9+D12+D15+D18</f>
        <v>2802.0131832304332</v>
      </c>
      <c r="E20" s="12">
        <f>E7+E9+E12+E15+E18</f>
        <v>1.6720451027750527</v>
      </c>
      <c r="F20" s="6"/>
    </row>
    <row r="21" spans="1:6" ht="15">
      <c r="A21" s="29"/>
      <c r="B21" s="30"/>
      <c r="C21" s="31"/>
      <c r="D21" s="32"/>
      <c r="E21" s="33"/>
      <c r="F21" s="2"/>
    </row>
    <row r="22" spans="1:6" ht="15">
      <c r="A22" s="30"/>
      <c r="B22" s="30"/>
      <c r="C22" s="30"/>
      <c r="D22" s="30"/>
      <c r="E22" s="30"/>
      <c r="F22" s="29"/>
    </row>
    <row r="23" spans="1:6" ht="105">
      <c r="A23" s="11" t="s">
        <v>28</v>
      </c>
      <c r="B23" s="11" t="s">
        <v>29</v>
      </c>
      <c r="C23" s="11" t="s">
        <v>30</v>
      </c>
      <c r="D23" s="11" t="s">
        <v>31</v>
      </c>
      <c r="E23" s="11" t="s">
        <v>32</v>
      </c>
      <c r="F23" s="11" t="s">
        <v>33</v>
      </c>
    </row>
    <row r="24" spans="1:6" ht="15">
      <c r="A24" s="11">
        <v>1</v>
      </c>
      <c r="B24" s="8" t="s">
        <v>123</v>
      </c>
      <c r="C24" s="11" t="s">
        <v>175</v>
      </c>
      <c r="D24" s="11">
        <v>3649.8</v>
      </c>
      <c r="E24" s="37">
        <f>D24/12/$D$2</f>
        <v>2.1779448621553885</v>
      </c>
      <c r="F24" s="38">
        <v>2</v>
      </c>
    </row>
    <row r="25" spans="1:6" ht="15">
      <c r="A25" s="11"/>
      <c r="B25" s="39" t="s">
        <v>36</v>
      </c>
      <c r="C25" s="10"/>
      <c r="D25" s="54">
        <f>SUM(D24:D24)</f>
        <v>3649.8</v>
      </c>
      <c r="E25" s="40">
        <f>SUM(E24:E24)</f>
        <v>2.1779448621553885</v>
      </c>
      <c r="F25" s="41"/>
    </row>
    <row r="26" spans="1:6" ht="15">
      <c r="A26" s="29"/>
      <c r="B26" s="30"/>
      <c r="C26" s="42"/>
      <c r="D26" s="42"/>
      <c r="E26" s="42"/>
      <c r="F26" s="42"/>
    </row>
    <row r="27" spans="1:6" ht="29.25">
      <c r="A27" s="29"/>
      <c r="B27" s="30" t="s">
        <v>37</v>
      </c>
      <c r="C27" s="43">
        <f>D20+D25</f>
        <v>6451.813183230433</v>
      </c>
      <c r="D27" s="43"/>
      <c r="E27" s="43"/>
      <c r="F27" s="42"/>
    </row>
    <row r="28" spans="1:6" ht="15">
      <c r="A28" s="29"/>
      <c r="B28" s="30" t="s">
        <v>38</v>
      </c>
      <c r="C28" s="44">
        <f>E20+E25</f>
        <v>3.849989964930441</v>
      </c>
      <c r="D28" s="42"/>
      <c r="E28" s="42"/>
      <c r="F28" s="42"/>
    </row>
    <row r="29" spans="1:6" ht="15">
      <c r="A29" s="29"/>
      <c r="B29" s="30"/>
      <c r="C29" s="44"/>
      <c r="D29" s="42"/>
      <c r="E29" s="42"/>
      <c r="F29" s="42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38" t="s">
        <v>39</v>
      </c>
      <c r="B31" s="138"/>
      <c r="C31" s="138"/>
      <c r="D31" s="138"/>
      <c r="E31" s="138"/>
      <c r="F31" s="138"/>
    </row>
    <row r="32" spans="1:6" ht="15">
      <c r="A32" s="1"/>
      <c r="B32" s="1"/>
      <c r="C32" s="1"/>
      <c r="D32" s="2"/>
      <c r="E32" s="2"/>
      <c r="F32" s="2"/>
    </row>
    <row r="33" spans="1:6" ht="71.25">
      <c r="A33" s="8"/>
      <c r="B33" s="9" t="s">
        <v>4</v>
      </c>
      <c r="C33" s="9" t="s">
        <v>5</v>
      </c>
      <c r="D33" s="9" t="s">
        <v>6</v>
      </c>
      <c r="E33" s="9" t="s">
        <v>7</v>
      </c>
      <c r="F33" s="2"/>
    </row>
    <row r="34" spans="1:5" ht="33.75" customHeight="1">
      <c r="A34" s="139" t="s">
        <v>40</v>
      </c>
      <c r="B34" s="139"/>
      <c r="C34" s="139"/>
      <c r="D34" s="12">
        <f>D35</f>
        <v>16.758</v>
      </c>
      <c r="E34" s="12">
        <f>E35</f>
        <v>0.01</v>
      </c>
    </row>
    <row r="35" spans="1:5" ht="30">
      <c r="A35" s="15">
        <v>1</v>
      </c>
      <c r="B35" s="45" t="s">
        <v>41</v>
      </c>
      <c r="C35" s="45" t="s">
        <v>42</v>
      </c>
      <c r="D35" s="17">
        <f>E35*12*$D$2</f>
        <v>16.758</v>
      </c>
      <c r="E35" s="46">
        <v>0.01</v>
      </c>
    </row>
    <row r="36" spans="1:5" ht="32.25" customHeight="1">
      <c r="A36" s="139" t="s">
        <v>43</v>
      </c>
      <c r="B36" s="139"/>
      <c r="C36" s="139"/>
      <c r="D36" s="12">
        <f>D37+D38</f>
        <v>134.06400000000002</v>
      </c>
      <c r="E36" s="12">
        <f>E37+E38</f>
        <v>0.08</v>
      </c>
    </row>
    <row r="37" spans="1:5" ht="28.5" customHeight="1">
      <c r="A37" s="15">
        <v>2</v>
      </c>
      <c r="B37" s="45" t="s">
        <v>44</v>
      </c>
      <c r="C37" s="45" t="s">
        <v>45</v>
      </c>
      <c r="D37" s="17">
        <f>E37*$D$2*12</f>
        <v>33.516000000000005</v>
      </c>
      <c r="E37" s="46">
        <v>0.02</v>
      </c>
    </row>
    <row r="38" spans="1:5" ht="15">
      <c r="A38" s="15">
        <v>3</v>
      </c>
      <c r="B38" s="47" t="s">
        <v>46</v>
      </c>
      <c r="C38" s="8" t="s">
        <v>42</v>
      </c>
      <c r="D38" s="17">
        <f>E38*$D$2*12</f>
        <v>100.548</v>
      </c>
      <c r="E38" s="18">
        <v>0.06</v>
      </c>
    </row>
    <row r="39" spans="1:6" ht="15">
      <c r="A39" s="9"/>
      <c r="B39" s="27" t="s">
        <v>27</v>
      </c>
      <c r="C39" s="27"/>
      <c r="D39" s="48">
        <f>D34+D36</f>
        <v>150.82200000000003</v>
      </c>
      <c r="E39" s="12">
        <f>E34+E36</f>
        <v>0.09</v>
      </c>
      <c r="F39" s="6"/>
    </row>
    <row r="40" spans="1:6" ht="15">
      <c r="A40" s="2"/>
      <c r="B40" s="2"/>
      <c r="C40" s="2"/>
      <c r="D40" s="2"/>
      <c r="E40" s="2"/>
      <c r="F40" s="2"/>
    </row>
    <row r="41" spans="1:6" ht="15">
      <c r="A41" s="34"/>
      <c r="B41" s="34"/>
      <c r="C41" s="34"/>
      <c r="D41" s="34"/>
      <c r="E41" s="34"/>
      <c r="F41" s="35"/>
    </row>
    <row r="42" spans="1:6" ht="105">
      <c r="A42" s="11" t="s">
        <v>28</v>
      </c>
      <c r="B42" s="11" t="s">
        <v>29</v>
      </c>
      <c r="C42" s="11" t="s">
        <v>30</v>
      </c>
      <c r="D42" s="11" t="s">
        <v>31</v>
      </c>
      <c r="E42" s="11" t="s">
        <v>47</v>
      </c>
      <c r="F42" s="11" t="s">
        <v>33</v>
      </c>
    </row>
    <row r="43" spans="1:6" ht="15">
      <c r="A43" s="11">
        <v>1</v>
      </c>
      <c r="B43" s="8" t="s">
        <v>123</v>
      </c>
      <c r="C43" s="11" t="s">
        <v>171</v>
      </c>
      <c r="D43" s="36">
        <v>921.75</v>
      </c>
      <c r="E43" s="50">
        <f>D43/12/$D$2</f>
        <v>0.5500358037952022</v>
      </c>
      <c r="F43" s="38">
        <v>2</v>
      </c>
    </row>
    <row r="44" spans="1:6" ht="15">
      <c r="A44" s="51"/>
      <c r="B44" s="51" t="s">
        <v>36</v>
      </c>
      <c r="C44" s="51"/>
      <c r="D44" s="52">
        <f>SUM(D43:D43)</f>
        <v>921.75</v>
      </c>
      <c r="E44" s="53">
        <f>SUM(E43:E43)</f>
        <v>0.5500358037952022</v>
      </c>
      <c r="F44" s="51"/>
    </row>
    <row r="46" spans="2:4" ht="43.5">
      <c r="B46" s="30" t="s">
        <v>176</v>
      </c>
      <c r="D46" s="81">
        <v>6451.813183230433</v>
      </c>
    </row>
  </sheetData>
  <mergeCells count="9">
    <mergeCell ref="A4:E4"/>
    <mergeCell ref="A7:C7"/>
    <mergeCell ref="A9:C9"/>
    <mergeCell ref="A12:C12"/>
    <mergeCell ref="A34:C34"/>
    <mergeCell ref="A36:C36"/>
    <mergeCell ref="A15:C15"/>
    <mergeCell ref="A18:C18"/>
    <mergeCell ref="A31:F31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43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177</v>
      </c>
    </row>
    <row r="2" spans="1:6" ht="24" customHeight="1">
      <c r="A2" s="2"/>
      <c r="B2" s="1" t="s">
        <v>178</v>
      </c>
      <c r="C2" s="4"/>
      <c r="D2" s="5">
        <v>163.74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79" t="s">
        <v>7</v>
      </c>
      <c r="F6" s="2"/>
    </row>
    <row r="7" spans="1:6" ht="30.75" customHeight="1">
      <c r="A7" s="145" t="s">
        <v>8</v>
      </c>
      <c r="B7" s="146"/>
      <c r="C7" s="146"/>
      <c r="D7" s="12">
        <f>SUM(D8:D14)</f>
        <v>3591.1557505891797</v>
      </c>
      <c r="E7" s="12">
        <f>SUM(E8:E14)</f>
        <v>1.8276717919614325</v>
      </c>
      <c r="F7" s="13"/>
    </row>
    <row r="8" spans="1:6" ht="34.5" customHeight="1">
      <c r="A8" s="15">
        <v>1</v>
      </c>
      <c r="B8" s="8" t="s">
        <v>153</v>
      </c>
      <c r="C8" s="16" t="s">
        <v>147</v>
      </c>
      <c r="D8" s="17">
        <f aca="true" t="shared" si="0" ref="D8:D14">E8*$D$2*12</f>
        <v>271.1552196874822</v>
      </c>
      <c r="E8" s="60">
        <v>0.13800090574868806</v>
      </c>
      <c r="F8" s="2"/>
    </row>
    <row r="9" spans="1:8" ht="15.75" customHeight="1">
      <c r="A9" s="15">
        <v>2</v>
      </c>
      <c r="B9" s="8" t="s">
        <v>146</v>
      </c>
      <c r="C9" s="16" t="s">
        <v>147</v>
      </c>
      <c r="D9" s="17">
        <f t="shared" si="0"/>
        <v>97.95482311210293</v>
      </c>
      <c r="E9" s="60">
        <v>0.04985282720171356</v>
      </c>
      <c r="F9" s="2"/>
      <c r="H9" s="61"/>
    </row>
    <row r="10" spans="1:9" ht="15.75" customHeight="1">
      <c r="A10" s="15">
        <v>3</v>
      </c>
      <c r="B10" s="8" t="s">
        <v>9</v>
      </c>
      <c r="C10" s="16" t="s">
        <v>10</v>
      </c>
      <c r="D10" s="17">
        <f t="shared" si="0"/>
        <v>326.0795582207704</v>
      </c>
      <c r="E10" s="60">
        <v>0.16595393012335125</v>
      </c>
      <c r="F10" s="2"/>
      <c r="H10" s="61"/>
      <c r="I10" s="61"/>
    </row>
    <row r="11" spans="1:9" ht="30">
      <c r="A11" s="15">
        <v>4</v>
      </c>
      <c r="B11" s="8" t="s">
        <v>158</v>
      </c>
      <c r="C11" s="22" t="s">
        <v>149</v>
      </c>
      <c r="D11" s="17">
        <f t="shared" si="0"/>
        <v>346.6472978959289</v>
      </c>
      <c r="E11" s="60">
        <v>0.1764216124628114</v>
      </c>
      <c r="F11" s="2"/>
      <c r="H11" s="61"/>
      <c r="I11" s="56"/>
    </row>
    <row r="12" spans="1:9" ht="60">
      <c r="A12" s="15">
        <v>5</v>
      </c>
      <c r="B12" s="16" t="s">
        <v>159</v>
      </c>
      <c r="C12" s="16" t="s">
        <v>160</v>
      </c>
      <c r="D12" s="17">
        <f t="shared" si="0"/>
        <v>1848.785588778287</v>
      </c>
      <c r="E12" s="60">
        <v>0.9409152664683273</v>
      </c>
      <c r="F12" s="2"/>
      <c r="H12" s="56"/>
      <c r="I12" s="61"/>
    </row>
    <row r="13" spans="1:9" ht="15.75" customHeight="1">
      <c r="A13" s="15">
        <v>6</v>
      </c>
      <c r="B13" s="22" t="s">
        <v>46</v>
      </c>
      <c r="C13" s="22" t="s">
        <v>161</v>
      </c>
      <c r="D13" s="17">
        <f t="shared" si="0"/>
        <v>654.8376978292777</v>
      </c>
      <c r="E13" s="60">
        <v>0.3332710892417235</v>
      </c>
      <c r="F13" s="2"/>
      <c r="H13" s="62"/>
      <c r="I13" s="61"/>
    </row>
    <row r="14" spans="1:9" ht="15.75" customHeight="1">
      <c r="A14" s="15">
        <v>7</v>
      </c>
      <c r="B14" s="22" t="s">
        <v>150</v>
      </c>
      <c r="C14" s="22" t="s">
        <v>18</v>
      </c>
      <c r="D14" s="17">
        <f t="shared" si="0"/>
        <v>45.69556506533044</v>
      </c>
      <c r="E14" s="60">
        <v>0.02325616071481741</v>
      </c>
      <c r="F14" s="21"/>
      <c r="H14" s="62"/>
      <c r="I14" s="56"/>
    </row>
    <row r="15" spans="1:9" ht="15">
      <c r="A15" s="140" t="s">
        <v>11</v>
      </c>
      <c r="B15" s="141"/>
      <c r="C15" s="142"/>
      <c r="D15" s="12">
        <f>SUM(D16:D17)</f>
        <v>1776.3404187758676</v>
      </c>
      <c r="E15" s="12">
        <f>SUM(E16:E17)</f>
        <v>0.9040452438702963</v>
      </c>
      <c r="F15" s="19"/>
      <c r="H15" s="62"/>
      <c r="I15" s="61"/>
    </row>
    <row r="16" spans="1:9" ht="15.75" customHeight="1">
      <c r="A16" s="15">
        <v>8</v>
      </c>
      <c r="B16" s="8" t="s">
        <v>12</v>
      </c>
      <c r="C16" s="16" t="s">
        <v>13</v>
      </c>
      <c r="D16" s="17">
        <f>E16*$D$2*12</f>
        <v>1625.1970894564206</v>
      </c>
      <c r="E16" s="63">
        <v>0.8271228214732811</v>
      </c>
      <c r="F16" s="21"/>
      <c r="H16" s="62"/>
      <c r="I16" s="56"/>
    </row>
    <row r="17" spans="1:9" ht="30">
      <c r="A17" s="15">
        <v>9</v>
      </c>
      <c r="B17" s="22" t="s">
        <v>14</v>
      </c>
      <c r="C17" s="22" t="s">
        <v>15</v>
      </c>
      <c r="D17" s="17">
        <f>E17*$D$2*12</f>
        <v>151.14332931944713</v>
      </c>
      <c r="E17" s="63">
        <v>0.07692242239701515</v>
      </c>
      <c r="F17" s="21"/>
      <c r="H17" s="62"/>
      <c r="I17" s="56"/>
    </row>
    <row r="18" spans="1:6" ht="30" customHeight="1">
      <c r="A18" s="140" t="s">
        <v>16</v>
      </c>
      <c r="B18" s="143"/>
      <c r="C18" s="144"/>
      <c r="D18" s="23">
        <f>SUM(D19:D20)</f>
        <v>213.63656018182218</v>
      </c>
      <c r="E18" s="23">
        <f>SUM(E19:E20)</f>
        <v>0.1087275356163339</v>
      </c>
      <c r="F18" s="21"/>
    </row>
    <row r="19" spans="1:6" ht="34.5" customHeight="1">
      <c r="A19" s="15">
        <v>10</v>
      </c>
      <c r="B19" s="22" t="s">
        <v>17</v>
      </c>
      <c r="C19" s="22" t="s">
        <v>18</v>
      </c>
      <c r="D19" s="17">
        <f>E19*12*$D$2</f>
        <v>94.38045990249844</v>
      </c>
      <c r="E19" s="60">
        <v>0.04803370175405035</v>
      </c>
      <c r="F19" s="13"/>
    </row>
    <row r="20" spans="1:6" ht="60">
      <c r="A20" s="15">
        <v>11</v>
      </c>
      <c r="B20" s="22" t="s">
        <v>19</v>
      </c>
      <c r="C20" s="22" t="s">
        <v>18</v>
      </c>
      <c r="D20" s="17">
        <f>E20*12*$D$2</f>
        <v>119.25610027932372</v>
      </c>
      <c r="E20" s="17">
        <v>0.06069383386228355</v>
      </c>
      <c r="F20" s="2"/>
    </row>
    <row r="21" spans="1:6" ht="15">
      <c r="A21" s="145" t="s">
        <v>20</v>
      </c>
      <c r="B21" s="146"/>
      <c r="C21" s="146"/>
      <c r="D21" s="24">
        <f>SUM(D22:D23)</f>
        <v>668.9415269996867</v>
      </c>
      <c r="E21" s="24">
        <f>SUM(E22:E23)</f>
        <v>0.34044904879671367</v>
      </c>
      <c r="F21" s="2"/>
    </row>
    <row r="22" spans="1:10" ht="60">
      <c r="A22" s="15">
        <v>12</v>
      </c>
      <c r="B22" s="22" t="s">
        <v>86</v>
      </c>
      <c r="C22" s="22" t="s">
        <v>18</v>
      </c>
      <c r="D22" s="17">
        <f>E22*12*$D$2</f>
        <v>40.23846520484328</v>
      </c>
      <c r="E22" s="63">
        <v>0.020478841051282153</v>
      </c>
      <c r="F22" s="2"/>
      <c r="H22" s="64"/>
      <c r="I22" s="64"/>
      <c r="J22" s="65"/>
    </row>
    <row r="23" spans="1:10" ht="60">
      <c r="A23" s="15">
        <v>13</v>
      </c>
      <c r="B23" s="22" t="s">
        <v>22</v>
      </c>
      <c r="C23" s="22" t="s">
        <v>87</v>
      </c>
      <c r="D23" s="17">
        <f>E23*12*$D$2</f>
        <v>628.7030617948435</v>
      </c>
      <c r="E23" s="63">
        <v>0.3199702077454315</v>
      </c>
      <c r="F23" s="2"/>
      <c r="H23" s="64"/>
      <c r="I23" s="64"/>
      <c r="J23" s="65"/>
    </row>
    <row r="24" spans="1:6" ht="15">
      <c r="A24" s="145" t="s">
        <v>24</v>
      </c>
      <c r="B24" s="145"/>
      <c r="C24" s="145"/>
      <c r="D24" s="25">
        <f>SUM(D25)</f>
        <v>401.94</v>
      </c>
      <c r="E24" s="23">
        <f>SUM(E25)</f>
        <v>0.2045621106632466</v>
      </c>
      <c r="F24" s="2"/>
    </row>
    <row r="25" spans="1:6" ht="15">
      <c r="A25" s="15">
        <v>14</v>
      </c>
      <c r="B25" s="22" t="s">
        <v>25</v>
      </c>
      <c r="C25" s="22" t="s">
        <v>26</v>
      </c>
      <c r="D25" s="17">
        <f>E25*12*$D$2</f>
        <v>401.94</v>
      </c>
      <c r="E25" s="63">
        <v>0.2045621106632466</v>
      </c>
      <c r="F25" s="2"/>
    </row>
    <row r="26" spans="1:6" ht="15">
      <c r="A26" s="145" t="s">
        <v>151</v>
      </c>
      <c r="B26" s="145"/>
      <c r="C26" s="145"/>
      <c r="D26" s="25">
        <f>SUM(D27:D27)</f>
        <v>73.703983129771</v>
      </c>
      <c r="E26" s="23">
        <f>SUM(E27:E27)</f>
        <v>0.03751067908970065</v>
      </c>
      <c r="F26" s="2"/>
    </row>
    <row r="27" spans="1:6" ht="30">
      <c r="A27" s="15">
        <v>15</v>
      </c>
      <c r="B27" s="22" t="s">
        <v>152</v>
      </c>
      <c r="C27" s="22" t="s">
        <v>15</v>
      </c>
      <c r="D27" s="17">
        <f>E27*12*$D$2</f>
        <v>73.703983129771</v>
      </c>
      <c r="E27" s="63">
        <v>0.03751067908970065</v>
      </c>
      <c r="F27" s="2"/>
    </row>
    <row r="28" spans="1:6" ht="15">
      <c r="A28" s="9"/>
      <c r="B28" s="27" t="s">
        <v>27</v>
      </c>
      <c r="C28" s="27"/>
      <c r="D28" s="48">
        <f>D7+D15+D18+D21+D24+D26</f>
        <v>6725.718239676327</v>
      </c>
      <c r="E28" s="12">
        <f>E7+E15+E18+E21+E24+E26</f>
        <v>3.422966409997724</v>
      </c>
      <c r="F28" s="6"/>
    </row>
    <row r="29" spans="1:6" ht="15">
      <c r="A29" s="29"/>
      <c r="B29" s="30"/>
      <c r="C29" s="31"/>
      <c r="D29" s="32"/>
      <c r="E29" s="33"/>
      <c r="F29" s="2"/>
    </row>
    <row r="30" spans="1:6" ht="15">
      <c r="A30" s="30"/>
      <c r="B30" s="30"/>
      <c r="C30" s="30"/>
      <c r="D30" s="30"/>
      <c r="E30" s="30"/>
      <c r="F30" s="29"/>
    </row>
    <row r="31" spans="1:6" ht="105">
      <c r="A31" s="11" t="s">
        <v>28</v>
      </c>
      <c r="B31" s="11" t="s">
        <v>29</v>
      </c>
      <c r="C31" s="11" t="s">
        <v>30</v>
      </c>
      <c r="D31" s="11" t="s">
        <v>31</v>
      </c>
      <c r="E31" s="11" t="s">
        <v>32</v>
      </c>
      <c r="F31" s="11" t="s">
        <v>33</v>
      </c>
    </row>
    <row r="32" spans="1:6" ht="15">
      <c r="A32" s="11">
        <v>1</v>
      </c>
      <c r="B32" s="8" t="s">
        <v>123</v>
      </c>
      <c r="C32" s="11" t="s">
        <v>175</v>
      </c>
      <c r="D32" s="11">
        <v>4280</v>
      </c>
      <c r="E32" s="37">
        <f>D32/12/$D$2</f>
        <v>2.1782500712511705</v>
      </c>
      <c r="F32" s="38">
        <v>2</v>
      </c>
    </row>
    <row r="33" spans="1:6" ht="15">
      <c r="A33" s="11"/>
      <c r="B33" s="39" t="s">
        <v>36</v>
      </c>
      <c r="C33" s="10"/>
      <c r="D33" s="54">
        <f>SUM(D32:D32)</f>
        <v>4280</v>
      </c>
      <c r="E33" s="40">
        <f>SUM(E32:E32)</f>
        <v>2.1782500712511705</v>
      </c>
      <c r="F33" s="41"/>
    </row>
    <row r="34" spans="1:6" ht="15">
      <c r="A34" s="29"/>
      <c r="B34" s="30"/>
      <c r="C34" s="42"/>
      <c r="D34" s="42"/>
      <c r="E34" s="42"/>
      <c r="F34" s="42"/>
    </row>
    <row r="35" spans="1:6" ht="29.25">
      <c r="A35" s="29"/>
      <c r="B35" s="30" t="s">
        <v>37</v>
      </c>
      <c r="C35" s="43">
        <f>D28+D33</f>
        <v>11005.718239676327</v>
      </c>
      <c r="D35" s="43"/>
      <c r="E35" s="43"/>
      <c r="F35" s="42"/>
    </row>
    <row r="36" spans="1:6" ht="15">
      <c r="A36" s="29"/>
      <c r="B36" s="30" t="s">
        <v>38</v>
      </c>
      <c r="C36" s="44">
        <f>E28+E33</f>
        <v>5.601216481248894</v>
      </c>
      <c r="D36" s="42"/>
      <c r="E36" s="42"/>
      <c r="F36" s="42"/>
    </row>
    <row r="37" spans="1:6" ht="15">
      <c r="A37" s="29"/>
      <c r="B37" s="30"/>
      <c r="C37" s="44"/>
      <c r="D37" s="42"/>
      <c r="E37" s="42"/>
      <c r="F37" s="42"/>
    </row>
    <row r="38" spans="1:6" ht="15">
      <c r="A38" s="2"/>
      <c r="B38" s="2"/>
      <c r="C38" s="2"/>
      <c r="D38" s="2"/>
      <c r="E38" s="2"/>
      <c r="F38" s="2"/>
    </row>
    <row r="39" spans="1:6" ht="33" customHeight="1">
      <c r="A39" s="138" t="s">
        <v>39</v>
      </c>
      <c r="B39" s="138"/>
      <c r="C39" s="138"/>
      <c r="D39" s="138"/>
      <c r="E39" s="138"/>
      <c r="F39" s="138"/>
    </row>
    <row r="40" spans="1:6" ht="15">
      <c r="A40" s="1"/>
      <c r="B40" s="1"/>
      <c r="C40" s="1"/>
      <c r="D40" s="2"/>
      <c r="E40" s="2"/>
      <c r="F40" s="2"/>
    </row>
    <row r="41" spans="1:6" ht="71.25">
      <c r="A41" s="8"/>
      <c r="B41" s="9" t="s">
        <v>4</v>
      </c>
      <c r="C41" s="9" t="s">
        <v>5</v>
      </c>
      <c r="D41" s="9" t="s">
        <v>6</v>
      </c>
      <c r="E41" s="9" t="s">
        <v>7</v>
      </c>
      <c r="F41" s="2"/>
    </row>
    <row r="42" spans="1:5" ht="30.75" customHeight="1">
      <c r="A42" s="139" t="s">
        <v>40</v>
      </c>
      <c r="B42" s="139"/>
      <c r="C42" s="139"/>
      <c r="D42" s="12">
        <f>D43</f>
        <v>19.6488</v>
      </c>
      <c r="E42" s="12">
        <f>E43</f>
        <v>0.01</v>
      </c>
    </row>
    <row r="43" spans="1:5" ht="30">
      <c r="A43" s="15">
        <v>1</v>
      </c>
      <c r="B43" s="45" t="s">
        <v>41</v>
      </c>
      <c r="C43" s="45" t="s">
        <v>42</v>
      </c>
      <c r="D43" s="17">
        <f>E43*12*$D$2</f>
        <v>19.6488</v>
      </c>
      <c r="E43" s="46">
        <v>0.01</v>
      </c>
    </row>
    <row r="44" spans="1:5" ht="32.25" customHeight="1">
      <c r="A44" s="139" t="s">
        <v>43</v>
      </c>
      <c r="B44" s="139"/>
      <c r="C44" s="139"/>
      <c r="D44" s="12">
        <f>D45+D46+D47</f>
        <v>589.464</v>
      </c>
      <c r="E44" s="12">
        <f>E45+E46+E47</f>
        <v>0.3</v>
      </c>
    </row>
    <row r="45" spans="1:5" ht="28.5" customHeight="1">
      <c r="A45" s="15">
        <v>2</v>
      </c>
      <c r="B45" s="45" t="s">
        <v>44</v>
      </c>
      <c r="C45" s="45" t="s">
        <v>45</v>
      </c>
      <c r="D45" s="17">
        <f>E45*$D$2*12</f>
        <v>39.2976</v>
      </c>
      <c r="E45" s="46">
        <v>0.02</v>
      </c>
    </row>
    <row r="46" spans="1:5" ht="30">
      <c r="A46" s="15">
        <v>3</v>
      </c>
      <c r="B46" s="87" t="s">
        <v>153</v>
      </c>
      <c r="C46" s="87" t="s">
        <v>154</v>
      </c>
      <c r="D46" s="17">
        <f>E46*$D$2*12</f>
        <v>432.27360000000004</v>
      </c>
      <c r="E46" s="46">
        <v>0.22</v>
      </c>
    </row>
    <row r="47" spans="1:5" ht="30">
      <c r="A47" s="15">
        <v>4</v>
      </c>
      <c r="B47" s="47" t="s">
        <v>46</v>
      </c>
      <c r="C47" s="8" t="s">
        <v>165</v>
      </c>
      <c r="D47" s="17">
        <f>E47*$D$2*12</f>
        <v>117.89280000000001</v>
      </c>
      <c r="E47" s="18">
        <v>0.06</v>
      </c>
    </row>
    <row r="48" spans="1:6" ht="15">
      <c r="A48" s="9"/>
      <c r="B48" s="27" t="s">
        <v>27</v>
      </c>
      <c r="C48" s="27"/>
      <c r="D48" s="48">
        <f>D42+D44</f>
        <v>609.1128000000001</v>
      </c>
      <c r="E48" s="12">
        <f>E42+E44</f>
        <v>0.31</v>
      </c>
      <c r="F48" s="6"/>
    </row>
    <row r="49" spans="1:6" ht="15">
      <c r="A49" s="2"/>
      <c r="B49" s="2"/>
      <c r="C49" s="2"/>
      <c r="D49" s="2"/>
      <c r="E49" s="2"/>
      <c r="F49" s="2"/>
    </row>
    <row r="50" spans="1:6" ht="15">
      <c r="A50" s="34"/>
      <c r="B50" s="34"/>
      <c r="C50" s="34"/>
      <c r="D50" s="34"/>
      <c r="E50" s="34"/>
      <c r="F50" s="35"/>
    </row>
    <row r="51" spans="1:6" ht="105">
      <c r="A51" s="11" t="s">
        <v>28</v>
      </c>
      <c r="B51" s="11" t="s">
        <v>29</v>
      </c>
      <c r="C51" s="11" t="s">
        <v>30</v>
      </c>
      <c r="D51" s="11" t="s">
        <v>31</v>
      </c>
      <c r="E51" s="11" t="s">
        <v>47</v>
      </c>
      <c r="F51" s="11" t="s">
        <v>33</v>
      </c>
    </row>
    <row r="52" spans="1:6" ht="15">
      <c r="A52" s="11">
        <v>1</v>
      </c>
      <c r="B52" s="8" t="s">
        <v>123</v>
      </c>
      <c r="C52" s="11" t="s">
        <v>124</v>
      </c>
      <c r="D52" s="36">
        <v>1098.6</v>
      </c>
      <c r="E52" s="50">
        <f>D52/12/$D$2</f>
        <v>0.5591181140833027</v>
      </c>
      <c r="F52" s="38">
        <v>2</v>
      </c>
    </row>
    <row r="53" spans="1:6" ht="15">
      <c r="A53" s="51"/>
      <c r="B53" s="51" t="s">
        <v>36</v>
      </c>
      <c r="C53" s="51"/>
      <c r="D53" s="52">
        <f>SUM(D52:D52)</f>
        <v>1098.6</v>
      </c>
      <c r="E53" s="53">
        <f>SUM(E52:E52)</f>
        <v>0.5591181140833027</v>
      </c>
      <c r="F53" s="51"/>
    </row>
    <row r="55" spans="1:4" ht="35.25" customHeight="1">
      <c r="A55" s="149" t="s">
        <v>179</v>
      </c>
      <c r="B55" s="148"/>
      <c r="D55" s="81">
        <v>11005.718239676327</v>
      </c>
    </row>
  </sheetData>
  <mergeCells count="11">
    <mergeCell ref="A55:B55"/>
    <mergeCell ref="A42:C42"/>
    <mergeCell ref="A44:C44"/>
    <mergeCell ref="A21:C21"/>
    <mergeCell ref="A24:C24"/>
    <mergeCell ref="A26:C26"/>
    <mergeCell ref="A39:F39"/>
    <mergeCell ref="A4:E4"/>
    <mergeCell ref="A7:C7"/>
    <mergeCell ref="A15:C15"/>
    <mergeCell ref="A18:C18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28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="93" customFormat="1" ht="20.25" customHeight="1">
      <c r="B1" s="59" t="s">
        <v>180</v>
      </c>
    </row>
    <row r="2" spans="1:6" ht="30" customHeight="1">
      <c r="A2" s="2"/>
      <c r="B2" s="1" t="s">
        <v>181</v>
      </c>
      <c r="C2" s="4"/>
      <c r="D2" s="5">
        <v>221.6</v>
      </c>
      <c r="E2" s="6" t="s">
        <v>2</v>
      </c>
      <c r="F2" s="2"/>
    </row>
    <row r="3" spans="1:6" ht="21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9.5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79" t="s">
        <v>7</v>
      </c>
      <c r="F6" s="2"/>
    </row>
    <row r="7" spans="1:6" ht="30" customHeight="1">
      <c r="A7" s="140" t="s">
        <v>76</v>
      </c>
      <c r="B7" s="143"/>
      <c r="C7" s="144"/>
      <c r="D7" s="94">
        <f>SUM(D8:D9)</f>
        <v>164.38497877374323</v>
      </c>
      <c r="E7" s="23">
        <f>SUM(E8:E9)</f>
        <v>0.06181745591672052</v>
      </c>
      <c r="F7" s="21"/>
    </row>
    <row r="8" spans="1:6" ht="33.75" customHeight="1">
      <c r="A8" s="15">
        <v>1</v>
      </c>
      <c r="B8" s="22" t="s">
        <v>17</v>
      </c>
      <c r="C8" s="22" t="s">
        <v>18</v>
      </c>
      <c r="D8" s="95">
        <f>E8*12*$D$2</f>
        <v>94.38045990249847</v>
      </c>
      <c r="E8" s="96">
        <v>0.03549205020400815</v>
      </c>
      <c r="F8" s="13"/>
    </row>
    <row r="9" spans="1:6" ht="60">
      <c r="A9" s="15">
        <v>2</v>
      </c>
      <c r="B9" s="22" t="s">
        <v>19</v>
      </c>
      <c r="C9" s="22" t="s">
        <v>18</v>
      </c>
      <c r="D9" s="95">
        <f>E9*12*$D$2</f>
        <v>70.00451887124474</v>
      </c>
      <c r="E9" s="97">
        <v>0.02632540571271237</v>
      </c>
      <c r="F9" s="2"/>
    </row>
    <row r="10" spans="1:9" ht="15">
      <c r="A10" s="145" t="s">
        <v>77</v>
      </c>
      <c r="B10" s="146"/>
      <c r="C10" s="146"/>
      <c r="D10" s="98">
        <f>SUM(D11:D12)</f>
        <v>2123.6119891782682</v>
      </c>
      <c r="E10" s="24">
        <f>SUM(E11:E12)</f>
        <v>0.7985905494803958</v>
      </c>
      <c r="F10" s="2"/>
      <c r="H10" s="99"/>
      <c r="I10" s="65"/>
    </row>
    <row r="11" spans="1:10" ht="60">
      <c r="A11" s="15">
        <v>3</v>
      </c>
      <c r="B11" s="22" t="s">
        <v>86</v>
      </c>
      <c r="C11" s="22" t="s">
        <v>18</v>
      </c>
      <c r="D11" s="95">
        <f>E11*12*$D$2</f>
        <v>129.83078335474585</v>
      </c>
      <c r="E11" s="63">
        <v>0.0488232488548232</v>
      </c>
      <c r="F11" s="2"/>
      <c r="H11" s="99"/>
      <c r="I11" s="64"/>
      <c r="J11" s="65"/>
    </row>
    <row r="12" spans="1:10" ht="60">
      <c r="A12" s="15">
        <v>4</v>
      </c>
      <c r="B12" s="22" t="s">
        <v>22</v>
      </c>
      <c r="C12" s="22" t="s">
        <v>87</v>
      </c>
      <c r="D12" s="95">
        <f>E12*12*$D$2</f>
        <v>1993.7812058235222</v>
      </c>
      <c r="E12" s="63">
        <v>0.7497673006255725</v>
      </c>
      <c r="F12" s="2"/>
      <c r="H12" s="99"/>
      <c r="I12" s="64"/>
      <c r="J12" s="65"/>
    </row>
    <row r="13" spans="1:6" ht="15">
      <c r="A13" s="145" t="s">
        <v>80</v>
      </c>
      <c r="B13" s="145"/>
      <c r="C13" s="145"/>
      <c r="D13" s="100">
        <f>SUM(D14)</f>
        <v>185.48186432154316</v>
      </c>
      <c r="E13" s="23">
        <f>SUM(E14)</f>
        <v>0.0697510019259714</v>
      </c>
      <c r="F13" s="2"/>
    </row>
    <row r="14" spans="1:9" ht="15">
      <c r="A14" s="15">
        <v>5</v>
      </c>
      <c r="B14" s="22" t="s">
        <v>25</v>
      </c>
      <c r="C14" s="22" t="s">
        <v>26</v>
      </c>
      <c r="D14" s="95">
        <f>E14*12*$D$2</f>
        <v>185.48186432154316</v>
      </c>
      <c r="E14" s="63">
        <v>0.0697510019259714</v>
      </c>
      <c r="F14" s="2"/>
      <c r="H14" s="99"/>
      <c r="I14" s="80"/>
    </row>
    <row r="15" spans="1:6" ht="15">
      <c r="A15" s="9"/>
      <c r="B15" s="27" t="s">
        <v>27</v>
      </c>
      <c r="C15" s="27"/>
      <c r="D15" s="101">
        <f>D7+D10+D13</f>
        <v>2473.4788322735544</v>
      </c>
      <c r="E15" s="12">
        <f>E7+E10+E13</f>
        <v>0.9301590073230876</v>
      </c>
      <c r="F15" s="6"/>
    </row>
    <row r="16" spans="1:6" ht="42.75" customHeight="1">
      <c r="A16" s="29"/>
      <c r="B16" s="30"/>
      <c r="C16" s="31"/>
      <c r="D16" s="32"/>
      <c r="E16" s="102"/>
      <c r="F16" s="2"/>
    </row>
    <row r="17" spans="1:6" ht="105">
      <c r="A17" s="11" t="s">
        <v>28</v>
      </c>
      <c r="B17" s="11" t="s">
        <v>29</v>
      </c>
      <c r="C17" s="11" t="s">
        <v>30</v>
      </c>
      <c r="D17" s="11" t="s">
        <v>31</v>
      </c>
      <c r="E17" s="11" t="s">
        <v>32</v>
      </c>
      <c r="F17" s="11" t="s">
        <v>33</v>
      </c>
    </row>
    <row r="18" spans="1:6" ht="15">
      <c r="A18" s="11">
        <v>1</v>
      </c>
      <c r="B18" s="8" t="s">
        <v>123</v>
      </c>
      <c r="C18" s="11" t="s">
        <v>182</v>
      </c>
      <c r="D18" s="11">
        <v>5791.5</v>
      </c>
      <c r="E18" s="37">
        <f>D18/12/$D$2</f>
        <v>2.1779106498194944</v>
      </c>
      <c r="F18" s="38">
        <v>2</v>
      </c>
    </row>
    <row r="19" spans="1:6" ht="15">
      <c r="A19" s="11"/>
      <c r="B19" s="39" t="s">
        <v>36</v>
      </c>
      <c r="C19" s="10"/>
      <c r="D19" s="54">
        <f>SUM(D18:D18)</f>
        <v>5791.5</v>
      </c>
      <c r="E19" s="40">
        <f>SUM(E18:E18)</f>
        <v>2.1779106498194944</v>
      </c>
      <c r="F19" s="41"/>
    </row>
    <row r="20" spans="1:6" ht="39.75" customHeight="1">
      <c r="A20" s="29"/>
      <c r="B20" s="30"/>
      <c r="C20" s="31"/>
      <c r="D20" s="32"/>
      <c r="E20" s="33"/>
      <c r="F20" s="2"/>
    </row>
    <row r="21" spans="1:6" ht="29.25">
      <c r="A21" s="29"/>
      <c r="B21" s="30" t="s">
        <v>37</v>
      </c>
      <c r="C21" s="43">
        <f>D15+D19</f>
        <v>8264.978832273555</v>
      </c>
      <c r="D21" s="43"/>
      <c r="E21" s="43"/>
      <c r="F21" s="42"/>
    </row>
    <row r="22" spans="1:6" ht="15">
      <c r="A22" s="29"/>
      <c r="B22" s="30" t="s">
        <v>38</v>
      </c>
      <c r="C22" s="44">
        <f>E15+E19</f>
        <v>3.108069657142582</v>
      </c>
      <c r="D22" s="42"/>
      <c r="E22" s="42"/>
      <c r="F22" s="42"/>
    </row>
    <row r="23" spans="1:6" ht="47.25" customHeight="1">
      <c r="A23" s="29"/>
      <c r="B23" s="30"/>
      <c r="C23" s="44"/>
      <c r="D23" s="42"/>
      <c r="E23" s="42"/>
      <c r="F23" s="42"/>
    </row>
    <row r="24" spans="1:6" ht="33" customHeight="1">
      <c r="A24" s="138" t="s">
        <v>39</v>
      </c>
      <c r="B24" s="138"/>
      <c r="C24" s="138"/>
      <c r="D24" s="138"/>
      <c r="E24" s="138"/>
      <c r="F24" s="138"/>
    </row>
    <row r="25" spans="1:6" ht="33.75" customHeight="1">
      <c r="A25" s="1"/>
      <c r="B25" s="1"/>
      <c r="C25" s="1"/>
      <c r="D25" s="2"/>
      <c r="E25" s="2"/>
      <c r="F25" s="2"/>
    </row>
    <row r="26" spans="1:6" ht="71.25">
      <c r="A26" s="8"/>
      <c r="B26" s="9" t="s">
        <v>4</v>
      </c>
      <c r="C26" s="9" t="s">
        <v>5</v>
      </c>
      <c r="D26" s="9" t="s">
        <v>6</v>
      </c>
      <c r="E26" s="9" t="s">
        <v>7</v>
      </c>
      <c r="F26" s="2"/>
    </row>
    <row r="27" spans="1:5" ht="32.25" customHeight="1">
      <c r="A27" s="139" t="s">
        <v>40</v>
      </c>
      <c r="B27" s="139"/>
      <c r="C27" s="139"/>
      <c r="D27" s="12">
        <f>D28</f>
        <v>26.592</v>
      </c>
      <c r="E27" s="12">
        <f>E28</f>
        <v>0.01</v>
      </c>
    </row>
    <row r="28" spans="1:5" ht="30">
      <c r="A28" s="15">
        <v>1</v>
      </c>
      <c r="B28" s="45" t="s">
        <v>41</v>
      </c>
      <c r="C28" s="45" t="s">
        <v>42</v>
      </c>
      <c r="D28" s="17">
        <f>E28*12*$D$2</f>
        <v>26.592</v>
      </c>
      <c r="E28" s="46">
        <v>0.01</v>
      </c>
    </row>
    <row r="29" spans="1:5" ht="32.25" customHeight="1">
      <c r="A29" s="139" t="s">
        <v>43</v>
      </c>
      <c r="B29" s="139"/>
      <c r="C29" s="139"/>
      <c r="D29" s="12">
        <f>D30</f>
        <v>159.552</v>
      </c>
      <c r="E29" s="12">
        <f>E30</f>
        <v>0.06</v>
      </c>
    </row>
    <row r="30" spans="1:5" ht="15">
      <c r="A30" s="15">
        <v>2</v>
      </c>
      <c r="B30" s="47" t="s">
        <v>46</v>
      </c>
      <c r="C30" s="8" t="s">
        <v>42</v>
      </c>
      <c r="D30" s="17">
        <f>E30*$D$2*12</f>
        <v>159.552</v>
      </c>
      <c r="E30" s="18">
        <v>0.06</v>
      </c>
    </row>
    <row r="31" spans="1:6" ht="15">
      <c r="A31" s="9"/>
      <c r="B31" s="27" t="s">
        <v>27</v>
      </c>
      <c r="C31" s="27"/>
      <c r="D31" s="48">
        <f>D27+D29</f>
        <v>186.144</v>
      </c>
      <c r="E31" s="12">
        <f>E27+E29</f>
        <v>0.06999999999999999</v>
      </c>
      <c r="F31" s="6"/>
    </row>
    <row r="32" spans="1:6" ht="15">
      <c r="A32" s="2"/>
      <c r="B32" s="2"/>
      <c r="C32" s="2"/>
      <c r="D32" s="2"/>
      <c r="E32" s="2"/>
      <c r="F32" s="2"/>
    </row>
    <row r="33" spans="1:6" ht="105">
      <c r="A33" s="11" t="s">
        <v>28</v>
      </c>
      <c r="B33" s="11" t="s">
        <v>29</v>
      </c>
      <c r="C33" s="11" t="s">
        <v>30</v>
      </c>
      <c r="D33" s="11" t="s">
        <v>31</v>
      </c>
      <c r="E33" s="11" t="s">
        <v>32</v>
      </c>
      <c r="F33" s="11" t="s">
        <v>33</v>
      </c>
    </row>
    <row r="34" spans="1:6" ht="15">
      <c r="A34" s="11">
        <v>1</v>
      </c>
      <c r="B34" s="8" t="s">
        <v>123</v>
      </c>
      <c r="C34" s="11" t="s">
        <v>124</v>
      </c>
      <c r="D34" s="11">
        <v>1336.5</v>
      </c>
      <c r="E34" s="37">
        <f>D34/12/$D$2</f>
        <v>0.5025947653429603</v>
      </c>
      <c r="F34" s="38">
        <v>2</v>
      </c>
    </row>
    <row r="35" spans="1:6" ht="15">
      <c r="A35" s="11"/>
      <c r="B35" s="39" t="s">
        <v>36</v>
      </c>
      <c r="C35" s="10"/>
      <c r="D35" s="54">
        <f>SUM(D34:D34)</f>
        <v>1336.5</v>
      </c>
      <c r="E35" s="40">
        <f>SUM(E34:E34)</f>
        <v>0.5025947653429603</v>
      </c>
      <c r="F35" s="41"/>
    </row>
    <row r="37" spans="2:3" ht="43.5">
      <c r="B37" s="30" t="s">
        <v>183</v>
      </c>
      <c r="C37" s="81">
        <v>8264.978832273555</v>
      </c>
    </row>
  </sheetData>
  <mergeCells count="7">
    <mergeCell ref="A24:F24"/>
    <mergeCell ref="A27:C27"/>
    <mergeCell ref="A29:C29"/>
    <mergeCell ref="A4:E4"/>
    <mergeCell ref="A7:C7"/>
    <mergeCell ref="A10:C10"/>
    <mergeCell ref="A13:C1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7"/>
  <sheetViews>
    <sheetView zoomScale="97" zoomScaleNormal="97" workbookViewId="0" topLeftCell="A33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7" width="9.125" style="78" customWidth="1"/>
    <col min="8" max="16384" width="9.125" style="3" customWidth="1"/>
  </cols>
  <sheetData>
    <row r="1" spans="1:6" ht="15" customHeight="1">
      <c r="A1" s="138" t="s">
        <v>443</v>
      </c>
      <c r="B1" s="138"/>
      <c r="C1" s="138"/>
      <c r="D1" s="138"/>
      <c r="E1" s="138"/>
      <c r="F1" s="2"/>
    </row>
    <row r="2" spans="1:6" ht="39" customHeight="1">
      <c r="A2" s="2"/>
      <c r="B2" s="1" t="s">
        <v>444</v>
      </c>
      <c r="C2" s="4"/>
      <c r="D2" s="5">
        <v>34.37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592.1134729252893</v>
      </c>
      <c r="E7" s="12">
        <f>SUM(E8:E9)</f>
        <v>1.435635420728565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541.7323631521404</v>
      </c>
      <c r="E8" s="20">
        <v>1.313481629211862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50.38110977314902</v>
      </c>
      <c r="E9" s="17">
        <v>0.12215379151670311</v>
      </c>
      <c r="F9" s="21"/>
    </row>
    <row r="10" spans="1:6" ht="15">
      <c r="A10" s="140" t="s">
        <v>64</v>
      </c>
      <c r="B10" s="143"/>
      <c r="C10" s="144"/>
      <c r="D10" s="23">
        <f>SUM(D11:D12)</f>
        <v>85.67563517824227</v>
      </c>
      <c r="E10" s="23">
        <f>SUM(E11:E12)</f>
        <v>0.20772872461022762</v>
      </c>
      <c r="F10" s="21"/>
    </row>
    <row r="11" spans="1:6" ht="15.75" customHeight="1">
      <c r="A11" s="15">
        <v>3</v>
      </c>
      <c r="B11" s="22" t="s">
        <v>17</v>
      </c>
      <c r="C11" s="22" t="s">
        <v>18</v>
      </c>
      <c r="D11" s="17">
        <f>E11*12*$D$2</f>
        <v>47.19022995124937</v>
      </c>
      <c r="E11" s="18">
        <v>0.11441719995938651</v>
      </c>
      <c r="F11" s="13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38.4854052269929</v>
      </c>
      <c r="E12" s="17">
        <v>0.0933115246508411</v>
      </c>
      <c r="F12" s="2"/>
    </row>
    <row r="13" spans="1:6" ht="15">
      <c r="A13" s="145" t="s">
        <v>67</v>
      </c>
      <c r="B13" s="146"/>
      <c r="C13" s="146"/>
      <c r="D13" s="24">
        <f>SUM(D14:D15)</f>
        <v>218.42658093401226</v>
      </c>
      <c r="E13" s="24">
        <f>SUM(E14:E15)</f>
        <v>0.5295960162302693</v>
      </c>
      <c r="F13" s="2"/>
    </row>
    <row r="14" spans="1:6" ht="60">
      <c r="A14" s="15">
        <v>5</v>
      </c>
      <c r="B14" s="22" t="s">
        <v>86</v>
      </c>
      <c r="C14" s="22" t="s">
        <v>18</v>
      </c>
      <c r="D14" s="17">
        <f>E14*12*$D$2</f>
        <v>13.17696315459757</v>
      </c>
      <c r="E14" s="17">
        <v>0.031948800200265665</v>
      </c>
      <c r="F14" s="2"/>
    </row>
    <row r="15" spans="1:6" ht="60">
      <c r="A15" s="15">
        <v>6</v>
      </c>
      <c r="B15" s="22" t="s">
        <v>22</v>
      </c>
      <c r="C15" s="22" t="s">
        <v>87</v>
      </c>
      <c r="D15" s="17">
        <f>E15*12*$D$2</f>
        <v>205.2496177794147</v>
      </c>
      <c r="E15" s="20">
        <v>0.49764721603000367</v>
      </c>
      <c r="F15" s="2"/>
    </row>
    <row r="16" spans="1:6" ht="15">
      <c r="A16" s="145" t="s">
        <v>70</v>
      </c>
      <c r="B16" s="145"/>
      <c r="C16" s="145"/>
      <c r="D16" s="25">
        <f>SUM(D17)</f>
        <v>173.30604816129033</v>
      </c>
      <c r="E16" s="25">
        <f>SUM(E17)</f>
        <v>0.4201969938931489</v>
      </c>
      <c r="F16" s="2"/>
    </row>
    <row r="17" spans="1:6" ht="15">
      <c r="A17" s="15">
        <v>7</v>
      </c>
      <c r="B17" s="22" t="s">
        <v>25</v>
      </c>
      <c r="C17" s="22" t="s">
        <v>26</v>
      </c>
      <c r="D17" s="17">
        <f>E17*12*$D$2</f>
        <v>173.30604816129033</v>
      </c>
      <c r="E17" s="26">
        <v>0.4201969938931489</v>
      </c>
      <c r="F17" s="2"/>
    </row>
    <row r="18" spans="1:6" ht="15">
      <c r="A18" s="9"/>
      <c r="B18" s="27" t="s">
        <v>27</v>
      </c>
      <c r="C18" s="27"/>
      <c r="D18" s="48">
        <f>D7+D10+D13+D16</f>
        <v>1069.5217371988342</v>
      </c>
      <c r="E18" s="12">
        <f>E7+E10+E13+E16</f>
        <v>2.593157155462211</v>
      </c>
      <c r="F18" s="6"/>
    </row>
    <row r="19" spans="1:6" ht="15">
      <c r="A19" s="29"/>
      <c r="B19" s="30"/>
      <c r="C19" s="31"/>
      <c r="D19" s="32"/>
      <c r="E19" s="33"/>
      <c r="F19" s="2"/>
    </row>
    <row r="20" spans="1:6" ht="15">
      <c r="A20" s="29"/>
      <c r="B20" s="30"/>
      <c r="C20" s="31"/>
      <c r="D20" s="32"/>
      <c r="E20" s="33"/>
      <c r="F20" s="2"/>
    </row>
    <row r="21" spans="1:7" ht="105">
      <c r="A21" s="11" t="s">
        <v>28</v>
      </c>
      <c r="B21" s="11" t="s">
        <v>29</v>
      </c>
      <c r="C21" s="11" t="s">
        <v>30</v>
      </c>
      <c r="D21" s="11" t="s">
        <v>31</v>
      </c>
      <c r="E21" s="11" t="s">
        <v>32</v>
      </c>
      <c r="F21" s="11" t="s">
        <v>33</v>
      </c>
      <c r="G21" s="3"/>
    </row>
    <row r="22" spans="1:7" ht="15">
      <c r="A22" s="11">
        <v>1</v>
      </c>
      <c r="B22" s="8" t="s">
        <v>320</v>
      </c>
      <c r="C22" s="11" t="s">
        <v>95</v>
      </c>
      <c r="D22" s="36">
        <v>896.5</v>
      </c>
      <c r="E22" s="37">
        <f>D22/12/$D$2</f>
        <v>2.173649500533411</v>
      </c>
      <c r="F22" s="38">
        <v>1</v>
      </c>
      <c r="G22" s="3"/>
    </row>
    <row r="23" spans="1:7" ht="15">
      <c r="A23" s="11"/>
      <c r="B23" s="39" t="s">
        <v>36</v>
      </c>
      <c r="C23" s="10"/>
      <c r="D23" s="54">
        <f>SUM(D22:D22)</f>
        <v>896.5</v>
      </c>
      <c r="E23" s="40">
        <f>SUM(E22:E22)</f>
        <v>2.173649500533411</v>
      </c>
      <c r="F23" s="41"/>
      <c r="G23" s="3"/>
    </row>
    <row r="24" spans="1:6" ht="15">
      <c r="A24" s="29"/>
      <c r="B24" s="30"/>
      <c r="C24" s="31"/>
      <c r="D24" s="32"/>
      <c r="E24" s="33"/>
      <c r="F24" s="2"/>
    </row>
    <row r="25" spans="1:6" ht="15">
      <c r="A25" s="29"/>
      <c r="B25" s="30"/>
      <c r="C25" s="31"/>
      <c r="D25" s="32"/>
      <c r="E25" s="33"/>
      <c r="F25" s="2"/>
    </row>
    <row r="26" spans="1:6" ht="29.25">
      <c r="A26" s="29"/>
      <c r="B26" s="30" t="s">
        <v>37</v>
      </c>
      <c r="C26" s="43">
        <f>D18+D23</f>
        <v>1966.0217371988342</v>
      </c>
      <c r="D26" s="43"/>
      <c r="E26" s="43"/>
      <c r="F26" s="42"/>
    </row>
    <row r="27" spans="1:6" ht="15">
      <c r="A27" s="29"/>
      <c r="B27" s="30" t="s">
        <v>38</v>
      </c>
      <c r="C27" s="44">
        <f>E18+E23</f>
        <v>4.766806655995621</v>
      </c>
      <c r="D27" s="42"/>
      <c r="E27" s="42"/>
      <c r="F27" s="42"/>
    </row>
    <row r="28" spans="1:6" ht="15">
      <c r="A28" s="29"/>
      <c r="B28" s="30"/>
      <c r="C28" s="44"/>
      <c r="D28" s="42"/>
      <c r="E28" s="42"/>
      <c r="F28" s="42"/>
    </row>
    <row r="29" spans="1:6" ht="37.5" customHeight="1">
      <c r="A29" s="2"/>
      <c r="B29" s="2"/>
      <c r="C29" s="2"/>
      <c r="D29" s="2"/>
      <c r="E29" s="2"/>
      <c r="F29" s="2"/>
    </row>
    <row r="30" spans="1:6" ht="33" customHeight="1">
      <c r="A30" s="138" t="s">
        <v>39</v>
      </c>
      <c r="B30" s="138"/>
      <c r="C30" s="138"/>
      <c r="D30" s="138"/>
      <c r="E30" s="138"/>
      <c r="F30" s="138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4</v>
      </c>
      <c r="C32" s="9" t="s">
        <v>5</v>
      </c>
      <c r="D32" s="9" t="s">
        <v>6</v>
      </c>
      <c r="E32" s="9" t="s">
        <v>7</v>
      </c>
      <c r="F32" s="2"/>
    </row>
    <row r="33" spans="1:5" ht="31.5" customHeight="1">
      <c r="A33" s="139" t="s">
        <v>40</v>
      </c>
      <c r="B33" s="139"/>
      <c r="C33" s="139"/>
      <c r="D33" s="12">
        <f>D34</f>
        <v>4.1244</v>
      </c>
      <c r="E33" s="12">
        <f>E34</f>
        <v>0.01</v>
      </c>
    </row>
    <row r="34" spans="1:5" ht="30">
      <c r="A34" s="15">
        <v>1</v>
      </c>
      <c r="B34" s="45" t="s">
        <v>41</v>
      </c>
      <c r="C34" s="45" t="s">
        <v>42</v>
      </c>
      <c r="D34" s="17">
        <f>E34*12*$D$2</f>
        <v>4.1244</v>
      </c>
      <c r="E34" s="46">
        <v>0.01</v>
      </c>
    </row>
    <row r="35" spans="1:5" ht="32.25" customHeight="1">
      <c r="A35" s="139" t="s">
        <v>43</v>
      </c>
      <c r="B35" s="139"/>
      <c r="C35" s="139"/>
      <c r="D35" s="12">
        <f>D36+D37</f>
        <v>32.9952</v>
      </c>
      <c r="E35" s="12">
        <f>E36+E37</f>
        <v>0.08</v>
      </c>
    </row>
    <row r="36" spans="1:5" ht="45">
      <c r="A36" s="15">
        <v>2</v>
      </c>
      <c r="B36" s="45" t="s">
        <v>44</v>
      </c>
      <c r="C36" s="45" t="s">
        <v>45</v>
      </c>
      <c r="D36" s="17">
        <f>E36*$D$2*12</f>
        <v>8.2488</v>
      </c>
      <c r="E36" s="46">
        <v>0.02</v>
      </c>
    </row>
    <row r="37" spans="1:5" ht="15">
      <c r="A37" s="15">
        <v>3</v>
      </c>
      <c r="B37" s="47" t="s">
        <v>46</v>
      </c>
      <c r="C37" s="8" t="s">
        <v>42</v>
      </c>
      <c r="D37" s="17">
        <f>E37*$D$2*12</f>
        <v>24.746399999999998</v>
      </c>
      <c r="E37" s="18">
        <v>0.06</v>
      </c>
    </row>
    <row r="38" spans="1:6" ht="15">
      <c r="A38" s="9"/>
      <c r="B38" s="27" t="s">
        <v>27</v>
      </c>
      <c r="C38" s="27"/>
      <c r="D38" s="48">
        <f>D33+D35</f>
        <v>37.1196</v>
      </c>
      <c r="E38" s="12">
        <f>E33+E35</f>
        <v>0.09</v>
      </c>
      <c r="F38" s="6"/>
    </row>
    <row r="39" spans="1:6" ht="15">
      <c r="A39" s="2"/>
      <c r="B39" s="2"/>
      <c r="C39" s="2"/>
      <c r="D39" s="2"/>
      <c r="E39" s="2"/>
      <c r="F39" s="2"/>
    </row>
    <row r="40" spans="1:6" ht="15">
      <c r="A40" s="34"/>
      <c r="B40" s="34"/>
      <c r="C40" s="34"/>
      <c r="D40" s="34"/>
      <c r="E40" s="34"/>
      <c r="F40" s="35"/>
    </row>
    <row r="41" spans="1:6" ht="105">
      <c r="A41" s="11" t="s">
        <v>28</v>
      </c>
      <c r="B41" s="11" t="s">
        <v>29</v>
      </c>
      <c r="C41" s="11" t="s">
        <v>30</v>
      </c>
      <c r="D41" s="11" t="s">
        <v>31</v>
      </c>
      <c r="E41" s="11" t="s">
        <v>47</v>
      </c>
      <c r="F41" s="11" t="s">
        <v>33</v>
      </c>
    </row>
    <row r="42" spans="1:6" ht="15">
      <c r="A42" s="11">
        <v>1</v>
      </c>
      <c r="B42" s="8" t="s">
        <v>320</v>
      </c>
      <c r="C42" s="11" t="s">
        <v>82</v>
      </c>
      <c r="D42" s="36">
        <v>271.67</v>
      </c>
      <c r="E42" s="50">
        <f>D42/12/$D$2</f>
        <v>0.6586897488119485</v>
      </c>
      <c r="F42" s="38">
        <v>1</v>
      </c>
    </row>
    <row r="43" spans="1:6" ht="15">
      <c r="A43" s="51"/>
      <c r="B43" s="51" t="s">
        <v>36</v>
      </c>
      <c r="C43" s="51"/>
      <c r="D43" s="52">
        <f>SUM(D42:D42)</f>
        <v>271.67</v>
      </c>
      <c r="E43" s="53">
        <f>SUM(E42:E42)</f>
        <v>0.6586897488119485</v>
      </c>
      <c r="F43" s="51"/>
    </row>
    <row r="47" spans="2:3" ht="29.25">
      <c r="B47" s="30" t="s">
        <v>445</v>
      </c>
      <c r="C47" s="43">
        <f>C26</f>
        <v>1966.0217371988342</v>
      </c>
    </row>
  </sheetData>
  <mergeCells count="9">
    <mergeCell ref="A1:E1"/>
    <mergeCell ref="A4:E4"/>
    <mergeCell ref="A7:C7"/>
    <mergeCell ref="A13:C13"/>
    <mergeCell ref="A10:C10"/>
    <mergeCell ref="A35:C35"/>
    <mergeCell ref="A16:C16"/>
    <mergeCell ref="A30:F30"/>
    <mergeCell ref="A33:C3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34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184</v>
      </c>
    </row>
    <row r="2" spans="1:6" ht="39" customHeight="1">
      <c r="A2" s="2"/>
      <c r="B2" s="1" t="s">
        <v>185</v>
      </c>
      <c r="C2" s="4"/>
      <c r="D2" s="5">
        <v>115.84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30.75" customHeight="1">
      <c r="A7" s="145" t="s">
        <v>8</v>
      </c>
      <c r="B7" s="146"/>
      <c r="C7" s="146"/>
      <c r="D7" s="12">
        <f>SUM(D8:D8)</f>
        <v>391.2954698649245</v>
      </c>
      <c r="E7" s="12">
        <f>SUM(E8:E8)</f>
        <v>0.281491331336991</v>
      </c>
      <c r="F7" s="13"/>
    </row>
    <row r="8" spans="1:8" ht="15.75" customHeight="1">
      <c r="A8" s="15">
        <v>1</v>
      </c>
      <c r="B8" s="8" t="s">
        <v>9</v>
      </c>
      <c r="C8" s="16" t="s">
        <v>10</v>
      </c>
      <c r="D8" s="17">
        <f>E8*$D$2*12</f>
        <v>391.2954698649245</v>
      </c>
      <c r="E8" s="60">
        <v>0.281491331336991</v>
      </c>
      <c r="F8" s="2"/>
      <c r="H8" s="61"/>
    </row>
    <row r="9" spans="1:6" ht="15">
      <c r="A9" s="140" t="s">
        <v>11</v>
      </c>
      <c r="B9" s="141"/>
      <c r="C9" s="142"/>
      <c r="D9" s="12">
        <f>SUM(D10:D11)</f>
        <v>430.7722201285307</v>
      </c>
      <c r="E9" s="12">
        <f>SUM(E10:E11)</f>
        <v>0.30989023662561194</v>
      </c>
      <c r="F9" s="19"/>
    </row>
    <row r="10" spans="1:6" ht="15.75" customHeight="1">
      <c r="A10" s="15">
        <v>2</v>
      </c>
      <c r="B10" s="8" t="s">
        <v>12</v>
      </c>
      <c r="C10" s="16" t="s">
        <v>13</v>
      </c>
      <c r="D10" s="17">
        <f>E10*$D$2*12</f>
        <v>394.11914009929615</v>
      </c>
      <c r="E10" s="60">
        <v>0.283522631862408</v>
      </c>
      <c r="F10" s="21"/>
    </row>
    <row r="11" spans="1:6" ht="30">
      <c r="A11" s="15">
        <v>3</v>
      </c>
      <c r="B11" s="22" t="s">
        <v>14</v>
      </c>
      <c r="C11" s="22" t="s">
        <v>15</v>
      </c>
      <c r="D11" s="17">
        <f>E11*$D$2*12</f>
        <v>36.65308002923454</v>
      </c>
      <c r="E11" s="60">
        <v>0.026367604763203944</v>
      </c>
      <c r="F11" s="21"/>
    </row>
    <row r="12" spans="1:6" ht="30" customHeight="1">
      <c r="A12" s="140" t="s">
        <v>16</v>
      </c>
      <c r="B12" s="143"/>
      <c r="C12" s="144"/>
      <c r="D12" s="23">
        <f>SUM(D13:D14)</f>
        <v>86.7286610196974</v>
      </c>
      <c r="E12" s="23">
        <f>SUM(E13:E14)</f>
        <v>0.062391129301692994</v>
      </c>
      <c r="F12" s="21"/>
    </row>
    <row r="13" spans="1:6" ht="30.75" customHeight="1">
      <c r="A13" s="15">
        <v>4</v>
      </c>
      <c r="B13" s="22" t="s">
        <v>17</v>
      </c>
      <c r="C13" s="22" t="s">
        <v>18</v>
      </c>
      <c r="D13" s="17">
        <f>E13*12*$D$2</f>
        <v>45.77555047356146</v>
      </c>
      <c r="E13" s="60">
        <v>0.0329301554396592</v>
      </c>
      <c r="F13" s="13"/>
    </row>
    <row r="14" spans="1:6" ht="60">
      <c r="A14" s="15">
        <v>5</v>
      </c>
      <c r="B14" s="22" t="s">
        <v>19</v>
      </c>
      <c r="C14" s="22" t="s">
        <v>18</v>
      </c>
      <c r="D14" s="17">
        <f>E14*12*$D$2</f>
        <v>40.953110546135946</v>
      </c>
      <c r="E14" s="60">
        <v>0.029460973862033796</v>
      </c>
      <c r="F14" s="2"/>
    </row>
    <row r="15" spans="1:6" ht="15">
      <c r="A15" s="145" t="s">
        <v>20</v>
      </c>
      <c r="B15" s="146"/>
      <c r="C15" s="146"/>
      <c r="D15" s="24">
        <f>SUM(D16:D17)</f>
        <v>744.3422021484091</v>
      </c>
      <c r="E15" s="24">
        <f>SUM(E16:E17)</f>
        <v>0.5354671689028034</v>
      </c>
      <c r="F15" s="2"/>
    </row>
    <row r="16" spans="1:10" ht="60">
      <c r="A16" s="15">
        <v>6</v>
      </c>
      <c r="B16" s="22" t="s">
        <v>86</v>
      </c>
      <c r="C16" s="22" t="s">
        <v>18</v>
      </c>
      <c r="D16" s="17">
        <f>E16*12*$D$2</f>
        <v>87.49584413113524</v>
      </c>
      <c r="E16" s="63">
        <v>0.06294302783374715</v>
      </c>
      <c r="F16" s="2"/>
      <c r="H16" s="64"/>
      <c r="I16" s="64"/>
      <c r="J16" s="65"/>
    </row>
    <row r="17" spans="1:10" ht="60">
      <c r="A17" s="15">
        <v>7</v>
      </c>
      <c r="B17" s="22" t="s">
        <v>22</v>
      </c>
      <c r="C17" s="22" t="s">
        <v>87</v>
      </c>
      <c r="D17" s="17">
        <f>E17*12*$D$2</f>
        <v>656.8463580172738</v>
      </c>
      <c r="E17" s="63">
        <v>0.4725241410690563</v>
      </c>
      <c r="F17" s="2"/>
      <c r="H17" s="64"/>
      <c r="I17" s="64"/>
      <c r="J17" s="65"/>
    </row>
    <row r="18" spans="1:6" ht="15">
      <c r="A18" s="145" t="s">
        <v>24</v>
      </c>
      <c r="B18" s="145"/>
      <c r="C18" s="145"/>
      <c r="D18" s="25">
        <f>SUM(D19)</f>
        <v>259.0244015625449</v>
      </c>
      <c r="E18" s="23">
        <f>SUM(E19)</f>
        <v>0.18633776585703332</v>
      </c>
      <c r="F18" s="2"/>
    </row>
    <row r="19" spans="1:9" ht="15">
      <c r="A19" s="15">
        <v>8</v>
      </c>
      <c r="B19" s="22" t="s">
        <v>25</v>
      </c>
      <c r="C19" s="22" t="s">
        <v>26</v>
      </c>
      <c r="D19" s="17">
        <f>E19*12*$D$2</f>
        <v>259.0244015625449</v>
      </c>
      <c r="E19" s="63">
        <v>0.18633776585703332</v>
      </c>
      <c r="F19" s="2"/>
      <c r="H19" s="64"/>
      <c r="I19" s="80"/>
    </row>
    <row r="20" spans="1:6" ht="15">
      <c r="A20" s="9"/>
      <c r="B20" s="27" t="s">
        <v>27</v>
      </c>
      <c r="C20" s="27"/>
      <c r="D20" s="48">
        <f>D7+D9+D12+D15+D18</f>
        <v>1912.1629547241064</v>
      </c>
      <c r="E20" s="12">
        <f>E7+E9+E12+E15+E18</f>
        <v>1.3755776320241326</v>
      </c>
      <c r="F20" s="6"/>
    </row>
    <row r="21" spans="1:6" ht="15">
      <c r="A21" s="29"/>
      <c r="B21" s="30"/>
      <c r="C21" s="31"/>
      <c r="D21" s="32"/>
      <c r="E21" s="33"/>
      <c r="F21" s="2"/>
    </row>
    <row r="22" spans="1:6" ht="15">
      <c r="A22" s="30"/>
      <c r="B22" s="30"/>
      <c r="C22" s="30"/>
      <c r="D22" s="30"/>
      <c r="E22" s="30"/>
      <c r="F22" s="29"/>
    </row>
    <row r="23" spans="1:6" ht="105">
      <c r="A23" s="11" t="s">
        <v>28</v>
      </c>
      <c r="B23" s="11" t="s">
        <v>29</v>
      </c>
      <c r="C23" s="11" t="s">
        <v>30</v>
      </c>
      <c r="D23" s="11" t="s">
        <v>31</v>
      </c>
      <c r="E23" s="11" t="s">
        <v>32</v>
      </c>
      <c r="F23" s="11" t="s">
        <v>33</v>
      </c>
    </row>
    <row r="24" spans="1:6" ht="15">
      <c r="A24" s="11">
        <v>1</v>
      </c>
      <c r="B24" s="8" t="s">
        <v>123</v>
      </c>
      <c r="C24" s="11" t="s">
        <v>186</v>
      </c>
      <c r="D24" s="11">
        <v>3027.3</v>
      </c>
      <c r="E24" s="37">
        <f>D24/12/$D$2</f>
        <v>2.1777883287292816</v>
      </c>
      <c r="F24" s="38">
        <v>2</v>
      </c>
    </row>
    <row r="25" spans="1:6" ht="15">
      <c r="A25" s="11"/>
      <c r="B25" s="39" t="s">
        <v>36</v>
      </c>
      <c r="C25" s="10"/>
      <c r="D25" s="54">
        <f>SUM(D24:D24)</f>
        <v>3027.3</v>
      </c>
      <c r="E25" s="40">
        <f>SUM(E24:E24)</f>
        <v>2.1777883287292816</v>
      </c>
      <c r="F25" s="41"/>
    </row>
    <row r="26" spans="1:6" ht="15">
      <c r="A26" s="29"/>
      <c r="B26" s="30"/>
      <c r="C26" s="42"/>
      <c r="D26" s="42"/>
      <c r="E26" s="42"/>
      <c r="F26" s="42"/>
    </row>
    <row r="27" spans="1:6" ht="29.25">
      <c r="A27" s="29"/>
      <c r="B27" s="30" t="s">
        <v>37</v>
      </c>
      <c r="C27" s="43">
        <f>D20+D25</f>
        <v>4939.462954724107</v>
      </c>
      <c r="D27" s="43"/>
      <c r="E27" s="43"/>
      <c r="F27" s="42"/>
    </row>
    <row r="28" spans="1:6" ht="15">
      <c r="A28" s="29"/>
      <c r="B28" s="30" t="s">
        <v>38</v>
      </c>
      <c r="C28" s="44">
        <f>E20+E25</f>
        <v>3.553365960753414</v>
      </c>
      <c r="D28" s="42"/>
      <c r="E28" s="42"/>
      <c r="F28" s="42"/>
    </row>
    <row r="29" spans="1:6" ht="8.25" customHeight="1">
      <c r="A29" s="29"/>
      <c r="B29" s="30"/>
      <c r="C29" s="44"/>
      <c r="D29" s="42"/>
      <c r="E29" s="42"/>
      <c r="F29" s="42"/>
    </row>
    <row r="30" spans="1:6" ht="33" customHeight="1">
      <c r="A30" s="138" t="s">
        <v>39</v>
      </c>
      <c r="B30" s="138"/>
      <c r="C30" s="138"/>
      <c r="D30" s="138"/>
      <c r="E30" s="138"/>
      <c r="F30" s="138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4</v>
      </c>
      <c r="C32" s="9" t="s">
        <v>5</v>
      </c>
      <c r="D32" s="9" t="s">
        <v>6</v>
      </c>
      <c r="E32" s="9" t="s">
        <v>7</v>
      </c>
      <c r="F32" s="2"/>
    </row>
    <row r="33" spans="1:5" ht="32.25" customHeight="1">
      <c r="A33" s="139" t="s">
        <v>40</v>
      </c>
      <c r="B33" s="139"/>
      <c r="C33" s="139"/>
      <c r="D33" s="12">
        <f>D34</f>
        <v>13.9008</v>
      </c>
      <c r="E33" s="12">
        <f>E34</f>
        <v>0.01</v>
      </c>
    </row>
    <row r="34" spans="1:5" ht="30">
      <c r="A34" s="15">
        <v>1</v>
      </c>
      <c r="B34" s="45" t="s">
        <v>41</v>
      </c>
      <c r="C34" s="45" t="s">
        <v>42</v>
      </c>
      <c r="D34" s="17">
        <f>E34*12*$D$2</f>
        <v>13.9008</v>
      </c>
      <c r="E34" s="46">
        <v>0.01</v>
      </c>
    </row>
    <row r="35" spans="1:5" ht="32.25" customHeight="1">
      <c r="A35" s="139" t="s">
        <v>43</v>
      </c>
      <c r="B35" s="139"/>
      <c r="C35" s="139"/>
      <c r="D35" s="12">
        <f>D36+D37</f>
        <v>111.2064</v>
      </c>
      <c r="E35" s="12">
        <f>E36+E37</f>
        <v>0.08</v>
      </c>
    </row>
    <row r="36" spans="1:5" ht="28.5" customHeight="1">
      <c r="A36" s="15">
        <v>2</v>
      </c>
      <c r="B36" s="45" t="s">
        <v>44</v>
      </c>
      <c r="C36" s="45" t="s">
        <v>45</v>
      </c>
      <c r="D36" s="17">
        <f>E36*$D$2*12</f>
        <v>27.8016</v>
      </c>
      <c r="E36" s="46">
        <v>0.02</v>
      </c>
    </row>
    <row r="37" spans="1:5" ht="15">
      <c r="A37" s="15">
        <v>3</v>
      </c>
      <c r="B37" s="47" t="s">
        <v>46</v>
      </c>
      <c r="C37" s="8" t="s">
        <v>42</v>
      </c>
      <c r="D37" s="17">
        <f>E37*$D$2*12</f>
        <v>83.4048</v>
      </c>
      <c r="E37" s="18">
        <v>0.06</v>
      </c>
    </row>
    <row r="38" spans="1:6" ht="15">
      <c r="A38" s="9"/>
      <c r="B38" s="27" t="s">
        <v>27</v>
      </c>
      <c r="C38" s="27"/>
      <c r="D38" s="48">
        <f>D33+D35</f>
        <v>125.1072</v>
      </c>
      <c r="E38" s="12">
        <f>E33+E35</f>
        <v>0.09</v>
      </c>
      <c r="F38" s="6"/>
    </row>
    <row r="39" spans="1:6" ht="15">
      <c r="A39" s="2"/>
      <c r="B39" s="2"/>
      <c r="C39" s="2"/>
      <c r="D39" s="2"/>
      <c r="E39" s="2"/>
      <c r="F39" s="2"/>
    </row>
    <row r="40" spans="1:6" ht="15">
      <c r="A40" s="34"/>
      <c r="B40" s="34"/>
      <c r="C40" s="34"/>
      <c r="D40" s="34"/>
      <c r="E40" s="34"/>
      <c r="F40" s="35"/>
    </row>
    <row r="41" spans="1:6" ht="105">
      <c r="A41" s="11" t="s">
        <v>28</v>
      </c>
      <c r="B41" s="11" t="s">
        <v>29</v>
      </c>
      <c r="C41" s="11" t="s">
        <v>30</v>
      </c>
      <c r="D41" s="11" t="s">
        <v>31</v>
      </c>
      <c r="E41" s="11" t="s">
        <v>47</v>
      </c>
      <c r="F41" s="11" t="s">
        <v>33</v>
      </c>
    </row>
    <row r="42" spans="1:6" ht="15">
      <c r="A42" s="11">
        <v>1</v>
      </c>
      <c r="B42" s="8" t="s">
        <v>123</v>
      </c>
      <c r="C42" s="11" t="s">
        <v>187</v>
      </c>
      <c r="D42" s="36">
        <v>762</v>
      </c>
      <c r="E42" s="50">
        <f>D42/12/$D$2</f>
        <v>0.5481698895027625</v>
      </c>
      <c r="F42" s="38">
        <v>2</v>
      </c>
    </row>
    <row r="43" spans="1:6" ht="15">
      <c r="A43" s="51"/>
      <c r="B43" s="51" t="s">
        <v>36</v>
      </c>
      <c r="C43" s="51"/>
      <c r="D43" s="52">
        <f>SUM(D42:D42)</f>
        <v>762</v>
      </c>
      <c r="E43" s="53">
        <f>SUM(E42:E42)</f>
        <v>0.5481698895027625</v>
      </c>
      <c r="F43" s="51"/>
    </row>
    <row r="46" spans="2:4" ht="43.5">
      <c r="B46" s="30" t="s">
        <v>188</v>
      </c>
      <c r="D46" s="81">
        <v>4939.462954724107</v>
      </c>
    </row>
  </sheetData>
  <mergeCells count="9">
    <mergeCell ref="A33:C33"/>
    <mergeCell ref="A35:C35"/>
    <mergeCell ref="A15:C15"/>
    <mergeCell ref="A18:C18"/>
    <mergeCell ref="A30:F30"/>
    <mergeCell ref="A4:E4"/>
    <mergeCell ref="A7:C7"/>
    <mergeCell ref="A9:C9"/>
    <mergeCell ref="A12:C12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workbookViewId="0" topLeftCell="A37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189</v>
      </c>
    </row>
    <row r="2" spans="1:6" ht="39" customHeight="1">
      <c r="A2" s="2"/>
      <c r="B2" s="1" t="s">
        <v>190</v>
      </c>
      <c r="C2" s="4"/>
      <c r="D2" s="5">
        <v>1055.86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30.75" customHeight="1">
      <c r="A7" s="145" t="s">
        <v>8</v>
      </c>
      <c r="B7" s="146"/>
      <c r="C7" s="146"/>
      <c r="D7" s="12">
        <f>SUM(D8:D8)</f>
        <v>391.2954698649245</v>
      </c>
      <c r="E7" s="12">
        <f>SUM(E8:E8)</f>
        <v>0.030882840359590328</v>
      </c>
      <c r="F7" s="13"/>
    </row>
    <row r="8" spans="1:6" ht="15.75" customHeight="1">
      <c r="A8" s="15">
        <v>1</v>
      </c>
      <c r="B8" s="8" t="s">
        <v>9</v>
      </c>
      <c r="C8" s="16" t="s">
        <v>10</v>
      </c>
      <c r="D8" s="17">
        <f>E8*$D$2*12</f>
        <v>391.2954698649245</v>
      </c>
      <c r="E8" s="60">
        <v>0.030882840359590328</v>
      </c>
      <c r="F8" s="2"/>
    </row>
    <row r="9" spans="1:6" ht="15">
      <c r="A9" s="140" t="s">
        <v>191</v>
      </c>
      <c r="B9" s="141"/>
      <c r="C9" s="142"/>
      <c r="D9" s="12">
        <f>SUM(D10:D11)</f>
        <v>5032.964519864959</v>
      </c>
      <c r="E9" s="12">
        <f>SUM(E10:E11)</f>
        <v>0.3972247362233124</v>
      </c>
      <c r="F9" s="19"/>
    </row>
    <row r="10" spans="1:6" ht="15.75" customHeight="1">
      <c r="A10" s="15">
        <v>2</v>
      </c>
      <c r="B10" s="8" t="s">
        <v>12</v>
      </c>
      <c r="C10" s="16" t="s">
        <v>13</v>
      </c>
      <c r="D10" s="17">
        <f>E10*$D$2*12</f>
        <v>4604.725086793192</v>
      </c>
      <c r="E10" s="60">
        <v>0.36342610816405524</v>
      </c>
      <c r="F10" s="21"/>
    </row>
    <row r="11" spans="1:6" ht="30">
      <c r="A11" s="15">
        <v>3</v>
      </c>
      <c r="B11" s="22" t="s">
        <v>14</v>
      </c>
      <c r="C11" s="22" t="s">
        <v>15</v>
      </c>
      <c r="D11" s="17">
        <f>E11*$D$2*12</f>
        <v>428.23943307176717</v>
      </c>
      <c r="E11" s="60">
        <v>0.03379862805925716</v>
      </c>
      <c r="F11" s="21"/>
    </row>
    <row r="12" spans="1:6" ht="33" customHeight="1">
      <c r="A12" s="140" t="s">
        <v>16</v>
      </c>
      <c r="B12" s="143"/>
      <c r="C12" s="144"/>
      <c r="D12" s="23">
        <f>SUM(D13:D15)</f>
        <v>12589.581089990545</v>
      </c>
      <c r="E12" s="23">
        <f>SUM(E13:E15)</f>
        <v>0.9936277134271705</v>
      </c>
      <c r="F12" s="21"/>
    </row>
    <row r="13" spans="1:6" ht="34.5" customHeight="1">
      <c r="A13" s="15">
        <v>4</v>
      </c>
      <c r="B13" s="22" t="s">
        <v>17</v>
      </c>
      <c r="C13" s="22" t="s">
        <v>18</v>
      </c>
      <c r="D13" s="17">
        <f>E13*12*$D$2</f>
        <v>166.46768854326044</v>
      </c>
      <c r="E13" s="60">
        <v>0.013138396547463715</v>
      </c>
      <c r="F13" s="13"/>
    </row>
    <row r="14" spans="1:6" ht="30">
      <c r="A14" s="15">
        <v>5</v>
      </c>
      <c r="B14" s="22" t="s">
        <v>105</v>
      </c>
      <c r="C14" s="22" t="s">
        <v>18</v>
      </c>
      <c r="D14" s="17">
        <f>E14*12*$D$2</f>
        <v>1156.1339691483386</v>
      </c>
      <c r="E14" s="60">
        <v>0.09124741673046446</v>
      </c>
      <c r="F14" s="103"/>
    </row>
    <row r="15" spans="1:6" ht="90">
      <c r="A15" s="15">
        <v>6</v>
      </c>
      <c r="B15" s="22" t="s">
        <v>106</v>
      </c>
      <c r="C15" s="22" t="s">
        <v>18</v>
      </c>
      <c r="D15" s="17">
        <f>E15*12*$D$2</f>
        <v>11266.979432298946</v>
      </c>
      <c r="E15" s="60">
        <v>0.8892419001492423</v>
      </c>
      <c r="F15" s="2"/>
    </row>
    <row r="16" spans="1:6" ht="15">
      <c r="A16" s="145" t="s">
        <v>20</v>
      </c>
      <c r="B16" s="146"/>
      <c r="C16" s="146"/>
      <c r="D16" s="24">
        <f>SUM(D17:D18)</f>
        <v>19778.978647993743</v>
      </c>
      <c r="E16" s="24">
        <f>SUM(E17:E18)</f>
        <v>1.561048075186242</v>
      </c>
      <c r="F16" s="2"/>
    </row>
    <row r="17" spans="1:9" ht="75">
      <c r="A17" s="15">
        <v>7</v>
      </c>
      <c r="B17" s="22" t="s">
        <v>78</v>
      </c>
      <c r="C17" s="22" t="s">
        <v>18</v>
      </c>
      <c r="D17" s="17">
        <f>E17*12*$D$2</f>
        <v>1241.323789130553</v>
      </c>
      <c r="E17" s="63">
        <v>0.0979709896143549</v>
      </c>
      <c r="F17" s="2"/>
      <c r="H17" s="64"/>
      <c r="I17" s="65"/>
    </row>
    <row r="18" spans="1:9" ht="105">
      <c r="A18" s="15">
        <v>8</v>
      </c>
      <c r="B18" s="22" t="s">
        <v>22</v>
      </c>
      <c r="C18" s="22" t="s">
        <v>107</v>
      </c>
      <c r="D18" s="17">
        <f>E18*12*$D$2</f>
        <v>18537.65485886319</v>
      </c>
      <c r="E18" s="63">
        <v>1.463077085571887</v>
      </c>
      <c r="F18" s="2"/>
      <c r="H18" s="64"/>
      <c r="I18" s="65"/>
    </row>
    <row r="19" spans="1:9" ht="15">
      <c r="A19" s="145" t="s">
        <v>24</v>
      </c>
      <c r="B19" s="145"/>
      <c r="C19" s="145"/>
      <c r="D19" s="25">
        <f>SUM(D20)</f>
        <v>1927.9527449638742</v>
      </c>
      <c r="E19" s="23">
        <f>SUM(E20)</f>
        <v>0.152162908668753</v>
      </c>
      <c r="F19" s="2"/>
      <c r="H19" s="64"/>
      <c r="I19" s="56"/>
    </row>
    <row r="20" spans="1:9" ht="15">
      <c r="A20" s="15">
        <v>9</v>
      </c>
      <c r="B20" s="22" t="s">
        <v>25</v>
      </c>
      <c r="C20" s="22" t="s">
        <v>26</v>
      </c>
      <c r="D20" s="17">
        <f>E20*12*$D$2</f>
        <v>1927.9527449638742</v>
      </c>
      <c r="E20" s="63">
        <f>0.158762908668753-0.0066</f>
        <v>0.152162908668753</v>
      </c>
      <c r="F20" s="2"/>
      <c r="H20" s="64"/>
      <c r="I20" s="80"/>
    </row>
    <row r="21" spans="1:6" ht="15">
      <c r="A21" s="9"/>
      <c r="B21" s="27" t="s">
        <v>27</v>
      </c>
      <c r="C21" s="27"/>
      <c r="D21" s="48">
        <f>D7+D9+D12+D16+D19</f>
        <v>39720.77247267805</v>
      </c>
      <c r="E21" s="12">
        <f>E7+E9+E12+E16+E19</f>
        <v>3.134946273865068</v>
      </c>
      <c r="F21" s="6"/>
    </row>
    <row r="22" spans="1:6" ht="15">
      <c r="A22" s="29"/>
      <c r="B22" s="30"/>
      <c r="C22" s="31"/>
      <c r="D22" s="32"/>
      <c r="E22" s="33"/>
      <c r="F22" s="2"/>
    </row>
    <row r="23" spans="1:6" s="56" customFormat="1" ht="15">
      <c r="A23" s="30"/>
      <c r="B23" s="30"/>
      <c r="C23" s="30"/>
      <c r="D23" s="30"/>
      <c r="E23" s="30"/>
      <c r="F23" s="29"/>
    </row>
    <row r="24" spans="1:6" ht="105">
      <c r="A24" s="11" t="s">
        <v>28</v>
      </c>
      <c r="B24" s="11" t="s">
        <v>29</v>
      </c>
      <c r="C24" s="11" t="s">
        <v>30</v>
      </c>
      <c r="D24" s="11" t="s">
        <v>31</v>
      </c>
      <c r="E24" s="11" t="s">
        <v>32</v>
      </c>
      <c r="F24" s="11" t="s">
        <v>33</v>
      </c>
    </row>
    <row r="25" spans="1:6" ht="15">
      <c r="A25" s="11">
        <v>1</v>
      </c>
      <c r="B25" s="8" t="s">
        <v>123</v>
      </c>
      <c r="C25" s="11" t="s">
        <v>192</v>
      </c>
      <c r="D25" s="104">
        <v>27596</v>
      </c>
      <c r="E25" s="37">
        <f>D25/12/$D$2</f>
        <v>2.178003396914995</v>
      </c>
      <c r="F25" s="38">
        <v>2</v>
      </c>
    </row>
    <row r="26" spans="1:6" ht="15">
      <c r="A26" s="11"/>
      <c r="B26" s="39" t="s">
        <v>36</v>
      </c>
      <c r="C26" s="10"/>
      <c r="D26" s="54">
        <f>D25</f>
        <v>27596</v>
      </c>
      <c r="E26" s="40">
        <f>SUM(E25:E25)</f>
        <v>2.178003396914995</v>
      </c>
      <c r="F26" s="41"/>
    </row>
    <row r="27" spans="1:6" ht="15">
      <c r="A27" s="29"/>
      <c r="B27" s="30"/>
      <c r="C27" s="42"/>
      <c r="D27" s="42"/>
      <c r="E27" s="42"/>
      <c r="F27" s="42"/>
    </row>
    <row r="28" spans="1:6" ht="29.25">
      <c r="A28" s="29"/>
      <c r="B28" s="30" t="s">
        <v>37</v>
      </c>
      <c r="C28" s="43">
        <f>D21+D26</f>
        <v>67316.77247267804</v>
      </c>
      <c r="D28" s="43"/>
      <c r="E28" s="43"/>
      <c r="F28" s="42"/>
    </row>
    <row r="29" spans="1:6" ht="15">
      <c r="A29" s="29"/>
      <c r="B29" s="30" t="s">
        <v>38</v>
      </c>
      <c r="C29" s="44">
        <f>E21+E26</f>
        <v>5.312949670780063</v>
      </c>
      <c r="D29" s="42"/>
      <c r="E29" s="42"/>
      <c r="F29" s="42"/>
    </row>
    <row r="30" spans="1:6" ht="15">
      <c r="A30" s="29"/>
      <c r="B30" s="30"/>
      <c r="C30" s="44"/>
      <c r="D30" s="42"/>
      <c r="E30" s="42"/>
      <c r="F30" s="42"/>
    </row>
    <row r="31" spans="1:6" ht="15">
      <c r="A31" s="2"/>
      <c r="B31" s="2"/>
      <c r="C31" s="2"/>
      <c r="D31" s="2"/>
      <c r="E31" s="2"/>
      <c r="F31" s="2"/>
    </row>
    <row r="32" spans="1:6" ht="33" customHeight="1">
      <c r="A32" s="138" t="s">
        <v>39</v>
      </c>
      <c r="B32" s="138"/>
      <c r="C32" s="138"/>
      <c r="D32" s="138"/>
      <c r="E32" s="138"/>
      <c r="F32" s="138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4</v>
      </c>
      <c r="C34" s="9" t="s">
        <v>5</v>
      </c>
      <c r="D34" s="9" t="s">
        <v>6</v>
      </c>
      <c r="E34" s="9" t="s">
        <v>7</v>
      </c>
      <c r="F34" s="2"/>
    </row>
    <row r="35" spans="1:5" ht="30" customHeight="1">
      <c r="A35" s="139" t="s">
        <v>40</v>
      </c>
      <c r="B35" s="139"/>
      <c r="C35" s="139"/>
      <c r="D35" s="12">
        <f>D36</f>
        <v>126.70319999999998</v>
      </c>
      <c r="E35" s="12">
        <f>E36</f>
        <v>0.01</v>
      </c>
    </row>
    <row r="36" spans="1:5" ht="30">
      <c r="A36" s="15">
        <v>1</v>
      </c>
      <c r="B36" s="45" t="s">
        <v>41</v>
      </c>
      <c r="C36" s="45" t="s">
        <v>42</v>
      </c>
      <c r="D36" s="17">
        <f>E36*12*$D$2</f>
        <v>126.70319999999998</v>
      </c>
      <c r="E36" s="46">
        <v>0.01</v>
      </c>
    </row>
    <row r="37" spans="1:5" ht="32.25" customHeight="1">
      <c r="A37" s="139" t="s">
        <v>43</v>
      </c>
      <c r="B37" s="139"/>
      <c r="C37" s="139"/>
      <c r="D37" s="12">
        <f>D38+D39</f>
        <v>1013.6255999999998</v>
      </c>
      <c r="E37" s="12">
        <f>E38+E39</f>
        <v>0.08</v>
      </c>
    </row>
    <row r="38" spans="1:5" ht="28.5" customHeight="1">
      <c r="A38" s="15">
        <v>2</v>
      </c>
      <c r="B38" s="45" t="s">
        <v>44</v>
      </c>
      <c r="C38" s="45" t="s">
        <v>45</v>
      </c>
      <c r="D38" s="17">
        <f>E38*$D$2*12</f>
        <v>253.40639999999996</v>
      </c>
      <c r="E38" s="46">
        <v>0.02</v>
      </c>
    </row>
    <row r="39" spans="1:5" ht="15">
      <c r="A39" s="15">
        <v>3</v>
      </c>
      <c r="B39" s="47" t="s">
        <v>46</v>
      </c>
      <c r="C39" s="8" t="s">
        <v>42</v>
      </c>
      <c r="D39" s="17">
        <f>E39*$D$2*12</f>
        <v>760.2191999999999</v>
      </c>
      <c r="E39" s="18">
        <v>0.06</v>
      </c>
    </row>
    <row r="40" spans="1:6" ht="15">
      <c r="A40" s="9"/>
      <c r="B40" s="27" t="s">
        <v>27</v>
      </c>
      <c r="C40" s="27"/>
      <c r="D40" s="48">
        <f>D35+D37</f>
        <v>1140.3287999999998</v>
      </c>
      <c r="E40" s="12">
        <f>E35+E37</f>
        <v>0.09</v>
      </c>
      <c r="F40" s="6"/>
    </row>
    <row r="41" spans="1:6" ht="15">
      <c r="A41" s="2"/>
      <c r="B41" s="2"/>
      <c r="C41" s="2"/>
      <c r="D41" s="2"/>
      <c r="E41" s="2"/>
      <c r="F41" s="2"/>
    </row>
    <row r="42" spans="1:6" ht="15">
      <c r="A42" s="34"/>
      <c r="B42" s="34"/>
      <c r="C42" s="34"/>
      <c r="D42" s="34"/>
      <c r="E42" s="34"/>
      <c r="F42" s="35"/>
    </row>
    <row r="43" spans="1:6" ht="105">
      <c r="A43" s="11" t="s">
        <v>28</v>
      </c>
      <c r="B43" s="11" t="s">
        <v>29</v>
      </c>
      <c r="C43" s="11" t="s">
        <v>30</v>
      </c>
      <c r="D43" s="11" t="s">
        <v>31</v>
      </c>
      <c r="E43" s="11" t="s">
        <v>47</v>
      </c>
      <c r="F43" s="11" t="s">
        <v>33</v>
      </c>
    </row>
    <row r="44" spans="1:6" ht="15">
      <c r="A44" s="11">
        <v>1</v>
      </c>
      <c r="B44" s="8" t="s">
        <v>123</v>
      </c>
      <c r="C44" s="11" t="s">
        <v>193</v>
      </c>
      <c r="D44" s="36">
        <v>6240</v>
      </c>
      <c r="E44" s="50">
        <f>D44/12/$D$2</f>
        <v>0.49248953459738987</v>
      </c>
      <c r="F44" s="38">
        <v>2</v>
      </c>
    </row>
    <row r="45" spans="1:6" ht="15">
      <c r="A45" s="51"/>
      <c r="B45" s="51" t="s">
        <v>36</v>
      </c>
      <c r="C45" s="51"/>
      <c r="D45" s="52">
        <f>SUM(D44:D44)</f>
        <v>6240</v>
      </c>
      <c r="E45" s="53">
        <f>SUM(E44:E44)</f>
        <v>0.49248953459738987</v>
      </c>
      <c r="F45" s="51"/>
    </row>
    <row r="47" spans="2:4" ht="43.5">
      <c r="B47" s="30" t="s">
        <v>194</v>
      </c>
      <c r="D47" s="81">
        <v>67316.77247267804</v>
      </c>
    </row>
  </sheetData>
  <mergeCells count="9">
    <mergeCell ref="A4:E4"/>
    <mergeCell ref="A7:C7"/>
    <mergeCell ref="A32:F32"/>
    <mergeCell ref="A35:C35"/>
    <mergeCell ref="A37:C37"/>
    <mergeCell ref="A9:C9"/>
    <mergeCell ref="A12:C12"/>
    <mergeCell ref="A16:C16"/>
    <mergeCell ref="A19:C19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46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195</v>
      </c>
    </row>
    <row r="2" spans="1:6" ht="39" customHeight="1">
      <c r="A2" s="2"/>
      <c r="B2" s="1" t="s">
        <v>196</v>
      </c>
      <c r="C2" s="4"/>
      <c r="D2" s="5">
        <v>66.97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30.75" customHeight="1">
      <c r="A7" s="145" t="s">
        <v>8</v>
      </c>
      <c r="B7" s="146"/>
      <c r="C7" s="146"/>
      <c r="D7" s="12">
        <f>SUM(D8:D14)</f>
        <v>1498.1061419650637</v>
      </c>
      <c r="E7" s="12">
        <f>SUM(E8:E14)</f>
        <v>1.8641507913556614</v>
      </c>
      <c r="F7" s="13"/>
    </row>
    <row r="8" spans="1:9" ht="30">
      <c r="A8" s="15">
        <v>1</v>
      </c>
      <c r="B8" s="22" t="s">
        <v>197</v>
      </c>
      <c r="C8" s="16" t="s">
        <v>147</v>
      </c>
      <c r="D8" s="17">
        <f aca="true" t="shared" si="0" ref="D8:D14">E8*$D$2*12</f>
        <v>67.78880492187054</v>
      </c>
      <c r="E8" s="82">
        <v>0.08435220362584059</v>
      </c>
      <c r="F8" s="2"/>
      <c r="H8" s="85"/>
      <c r="I8" s="65"/>
    </row>
    <row r="9" spans="1:8" ht="15.75" customHeight="1">
      <c r="A9" s="15">
        <v>2</v>
      </c>
      <c r="B9" s="8" t="s">
        <v>146</v>
      </c>
      <c r="C9" s="16" t="s">
        <v>147</v>
      </c>
      <c r="D9" s="17">
        <f t="shared" si="0"/>
        <v>391.8192924484115</v>
      </c>
      <c r="E9" s="82">
        <v>0.48755573695735843</v>
      </c>
      <c r="F9" s="2"/>
      <c r="H9" s="56"/>
    </row>
    <row r="10" spans="1:8" ht="15.75" customHeight="1">
      <c r="A10" s="15">
        <v>3</v>
      </c>
      <c r="B10" s="8" t="s">
        <v>9</v>
      </c>
      <c r="C10" s="16" t="s">
        <v>10</v>
      </c>
      <c r="D10" s="17">
        <f t="shared" si="0"/>
        <v>391.29546986492437</v>
      </c>
      <c r="E10" s="82">
        <v>0.48690392447479514</v>
      </c>
      <c r="F10" s="2"/>
      <c r="H10" s="61"/>
    </row>
    <row r="11" spans="1:8" ht="30">
      <c r="A11" s="15">
        <v>4</v>
      </c>
      <c r="B11" s="8" t="s">
        <v>158</v>
      </c>
      <c r="C11" s="22" t="s">
        <v>149</v>
      </c>
      <c r="D11" s="17">
        <f t="shared" si="0"/>
        <v>86.6618244739822</v>
      </c>
      <c r="E11" s="60">
        <v>0.10783662395348936</v>
      </c>
      <c r="F11" s="2"/>
      <c r="H11" s="61"/>
    </row>
    <row r="12" spans="1:8" ht="60">
      <c r="A12" s="15">
        <v>5</v>
      </c>
      <c r="B12" s="16" t="s">
        <v>159</v>
      </c>
      <c r="C12" s="16" t="s">
        <v>160</v>
      </c>
      <c r="D12" s="17">
        <f t="shared" si="0"/>
        <v>462.19639719457155</v>
      </c>
      <c r="E12" s="60">
        <v>0.5751286610852765</v>
      </c>
      <c r="F12" s="2"/>
      <c r="H12" s="61"/>
    </row>
    <row r="13" spans="1:9" ht="15.75" customHeight="1">
      <c r="A13" s="15">
        <v>6</v>
      </c>
      <c r="B13" s="22" t="s">
        <v>46</v>
      </c>
      <c r="C13" s="22" t="s">
        <v>161</v>
      </c>
      <c r="D13" s="17">
        <f t="shared" si="0"/>
        <v>68.09693741740291</v>
      </c>
      <c r="E13" s="82">
        <v>0.0847356246794621</v>
      </c>
      <c r="F13" s="2"/>
      <c r="H13" s="62"/>
      <c r="I13" s="61"/>
    </row>
    <row r="14" spans="1:9" ht="15.75" customHeight="1">
      <c r="A14" s="15">
        <v>7</v>
      </c>
      <c r="B14" s="22" t="s">
        <v>150</v>
      </c>
      <c r="C14" s="22" t="s">
        <v>18</v>
      </c>
      <c r="D14" s="17">
        <f t="shared" si="0"/>
        <v>30.24741564390072</v>
      </c>
      <c r="E14" s="60">
        <v>0.03763801657943945</v>
      </c>
      <c r="F14" s="21"/>
      <c r="H14" s="62"/>
      <c r="I14" s="56"/>
    </row>
    <row r="15" spans="1:6" ht="15">
      <c r="A15" s="140" t="s">
        <v>11</v>
      </c>
      <c r="B15" s="141"/>
      <c r="C15" s="142"/>
      <c r="D15" s="12">
        <f>SUM(D16:D17)</f>
        <v>592.1134729252893</v>
      </c>
      <c r="E15" s="12">
        <f>SUM(E16:E17)</f>
        <v>0.7367894491629203</v>
      </c>
      <c r="F15" s="19"/>
    </row>
    <row r="16" spans="1:6" ht="15.75" customHeight="1">
      <c r="A16" s="15">
        <v>8</v>
      </c>
      <c r="B16" s="8" t="s">
        <v>12</v>
      </c>
      <c r="C16" s="16" t="s">
        <v>13</v>
      </c>
      <c r="D16" s="17">
        <f>E16*$D$2*12</f>
        <v>541.7323631521402</v>
      </c>
      <c r="E16" s="83">
        <v>0.6740983066449409</v>
      </c>
      <c r="F16" s="21"/>
    </row>
    <row r="17" spans="1:6" ht="30">
      <c r="A17" s="15">
        <v>9</v>
      </c>
      <c r="B17" s="22" t="s">
        <v>14</v>
      </c>
      <c r="C17" s="22" t="s">
        <v>15</v>
      </c>
      <c r="D17" s="17">
        <f>E17*$D$2*12</f>
        <v>50.38110977314905</v>
      </c>
      <c r="E17" s="83">
        <v>0.0626911425179795</v>
      </c>
      <c r="F17" s="21"/>
    </row>
    <row r="18" spans="1:6" ht="30" customHeight="1">
      <c r="A18" s="140" t="s">
        <v>16</v>
      </c>
      <c r="B18" s="143"/>
      <c r="C18" s="144"/>
      <c r="D18" s="23">
        <f>SUM(D19:D20)</f>
        <v>179.9624559960383</v>
      </c>
      <c r="E18" s="23">
        <f>SUM(E19:E20)</f>
        <v>0.22393416952371498</v>
      </c>
      <c r="F18" s="21"/>
    </row>
    <row r="19" spans="1:6" ht="33" customHeight="1">
      <c r="A19" s="15">
        <v>10</v>
      </c>
      <c r="B19" s="22" t="s">
        <v>17</v>
      </c>
      <c r="C19" s="22" t="s">
        <v>18</v>
      </c>
      <c r="D19" s="17">
        <f>E19*12*$D$2</f>
        <v>94.38045990249844</v>
      </c>
      <c r="E19" s="82">
        <v>0.11744121733922956</v>
      </c>
      <c r="F19" s="13"/>
    </row>
    <row r="20" spans="1:6" ht="60">
      <c r="A20" s="15">
        <v>11</v>
      </c>
      <c r="B20" s="22" t="s">
        <v>19</v>
      </c>
      <c r="C20" s="22" t="s">
        <v>18</v>
      </c>
      <c r="D20" s="17">
        <f>E20*12*$D$2</f>
        <v>85.58199609353986</v>
      </c>
      <c r="E20" s="84">
        <v>0.10649295218448541</v>
      </c>
      <c r="F20" s="2"/>
    </row>
    <row r="21" spans="1:6" ht="15">
      <c r="A21" s="145" t="s">
        <v>20</v>
      </c>
      <c r="B21" s="146"/>
      <c r="C21" s="146"/>
      <c r="D21" s="24">
        <f>SUM(D22:D23)</f>
        <v>365.9576607505014</v>
      </c>
      <c r="E21" s="24">
        <f>SUM(E22:E23)</f>
        <v>0.4553751191460124</v>
      </c>
      <c r="F21" s="2"/>
    </row>
    <row r="22" spans="1:10" ht="60">
      <c r="A22" s="15">
        <v>12</v>
      </c>
      <c r="B22" s="22" t="s">
        <v>86</v>
      </c>
      <c r="C22" s="22" t="s">
        <v>18</v>
      </c>
      <c r="D22" s="17">
        <f>E22*12*$D$2</f>
        <v>35.18725576880046</v>
      </c>
      <c r="E22" s="63">
        <v>0.04378484864964469</v>
      </c>
      <c r="F22" s="2"/>
      <c r="H22" s="64"/>
      <c r="I22" s="64"/>
      <c r="J22" s="65"/>
    </row>
    <row r="23" spans="1:10" ht="60">
      <c r="A23" s="15">
        <v>13</v>
      </c>
      <c r="B23" s="22" t="s">
        <v>22</v>
      </c>
      <c r="C23" s="22" t="s">
        <v>87</v>
      </c>
      <c r="D23" s="17">
        <f>E23*12*$D$2</f>
        <v>330.77040498170095</v>
      </c>
      <c r="E23" s="63">
        <v>0.4115902704963677</v>
      </c>
      <c r="F23" s="2"/>
      <c r="H23" s="85"/>
      <c r="I23" s="64"/>
      <c r="J23" s="65"/>
    </row>
    <row r="24" spans="1:6" ht="15">
      <c r="A24" s="145" t="s">
        <v>24</v>
      </c>
      <c r="B24" s="145"/>
      <c r="C24" s="145"/>
      <c r="D24" s="25">
        <f>SUM(D25)</f>
        <v>241.16400000000004</v>
      </c>
      <c r="E24" s="23">
        <f>SUM(E25)</f>
        <v>0.3000895923547858</v>
      </c>
      <c r="F24" s="2"/>
    </row>
    <row r="25" spans="1:6" ht="15">
      <c r="A25" s="15">
        <v>14</v>
      </c>
      <c r="B25" s="22" t="s">
        <v>25</v>
      </c>
      <c r="C25" s="22" t="s">
        <v>26</v>
      </c>
      <c r="D25" s="17">
        <f>E25*12*$D$2</f>
        <v>241.16400000000004</v>
      </c>
      <c r="E25" s="83">
        <v>0.3000895923547858</v>
      </c>
      <c r="F25" s="2"/>
    </row>
    <row r="26" spans="1:6" ht="15">
      <c r="A26" s="145" t="s">
        <v>151</v>
      </c>
      <c r="B26" s="145"/>
      <c r="C26" s="145"/>
      <c r="D26" s="25">
        <f>SUM(D27:D27)</f>
        <v>31.15423104166087</v>
      </c>
      <c r="E26" s="23">
        <f>SUM(E27:E27)</f>
        <v>0.03876640167445731</v>
      </c>
      <c r="F26" s="2"/>
    </row>
    <row r="27" spans="1:6" ht="30">
      <c r="A27" s="15">
        <v>15</v>
      </c>
      <c r="B27" s="22" t="s">
        <v>152</v>
      </c>
      <c r="C27" s="22" t="s">
        <v>15</v>
      </c>
      <c r="D27" s="17">
        <f>E27*12*$D$2</f>
        <v>31.15423104166087</v>
      </c>
      <c r="E27" s="83">
        <v>0.03876640167445731</v>
      </c>
      <c r="F27" s="2"/>
    </row>
    <row r="28" spans="1:6" ht="15">
      <c r="A28" s="9"/>
      <c r="B28" s="27" t="s">
        <v>27</v>
      </c>
      <c r="C28" s="27"/>
      <c r="D28" s="48">
        <f>D7+D15+D18+D21+D24+D26</f>
        <v>2908.457962678554</v>
      </c>
      <c r="E28" s="12">
        <f>E7+E15+E18+E21+E24+E26</f>
        <v>3.6191055232175517</v>
      </c>
      <c r="F28" s="6"/>
    </row>
    <row r="29" spans="1:6" ht="15">
      <c r="A29" s="29"/>
      <c r="B29" s="30"/>
      <c r="C29" s="31"/>
      <c r="D29" s="32"/>
      <c r="E29" s="33"/>
      <c r="F29" s="2"/>
    </row>
    <row r="30" spans="1:6" ht="15">
      <c r="A30" s="30"/>
      <c r="B30" s="30"/>
      <c r="C30" s="30"/>
      <c r="D30" s="30"/>
      <c r="E30" s="30"/>
      <c r="F30" s="29"/>
    </row>
    <row r="31" spans="1:6" ht="105">
      <c r="A31" s="11" t="s">
        <v>28</v>
      </c>
      <c r="B31" s="11" t="s">
        <v>29</v>
      </c>
      <c r="C31" s="11" t="s">
        <v>30</v>
      </c>
      <c r="D31" s="11" t="s">
        <v>31</v>
      </c>
      <c r="E31" s="11" t="s">
        <v>32</v>
      </c>
      <c r="F31" s="11" t="s">
        <v>33</v>
      </c>
    </row>
    <row r="32" spans="1:6" ht="15">
      <c r="A32" s="11">
        <v>1</v>
      </c>
      <c r="B32" s="8" t="s">
        <v>123</v>
      </c>
      <c r="C32" s="11" t="s">
        <v>81</v>
      </c>
      <c r="D32" s="11">
        <v>1750.3</v>
      </c>
      <c r="E32" s="37">
        <f>D32/12/$D$2</f>
        <v>2.1779652580757554</v>
      </c>
      <c r="F32" s="38">
        <v>2</v>
      </c>
    </row>
    <row r="33" spans="1:6" ht="15">
      <c r="A33" s="11"/>
      <c r="B33" s="39" t="s">
        <v>36</v>
      </c>
      <c r="C33" s="10"/>
      <c r="D33" s="54">
        <f>SUM(D32:D32)</f>
        <v>1750.3</v>
      </c>
      <c r="E33" s="40">
        <f>SUM(E32:E32)</f>
        <v>2.1779652580757554</v>
      </c>
      <c r="F33" s="41"/>
    </row>
    <row r="34" spans="1:6" ht="15">
      <c r="A34" s="29"/>
      <c r="B34" s="30"/>
      <c r="C34" s="42"/>
      <c r="D34" s="42"/>
      <c r="E34" s="42"/>
      <c r="F34" s="42"/>
    </row>
    <row r="35" spans="1:6" ht="29.25">
      <c r="A35" s="29"/>
      <c r="B35" s="30" t="s">
        <v>37</v>
      </c>
      <c r="C35" s="43">
        <f>D28+D33</f>
        <v>4658.757962678554</v>
      </c>
      <c r="D35" s="43"/>
      <c r="E35" s="43"/>
      <c r="F35" s="42"/>
    </row>
    <row r="36" spans="1:6" ht="15">
      <c r="A36" s="29"/>
      <c r="B36" s="30" t="s">
        <v>38</v>
      </c>
      <c r="C36" s="44">
        <f>E28+E33</f>
        <v>5.797070781293307</v>
      </c>
      <c r="D36" s="42"/>
      <c r="E36" s="42"/>
      <c r="F36" s="42"/>
    </row>
    <row r="37" spans="1:6" ht="15">
      <c r="A37" s="29"/>
      <c r="B37" s="30"/>
      <c r="C37" s="44"/>
      <c r="D37" s="42"/>
      <c r="E37" s="42"/>
      <c r="F37" s="42"/>
    </row>
    <row r="38" spans="1:6" ht="15">
      <c r="A38" s="2"/>
      <c r="B38" s="2"/>
      <c r="C38" s="2"/>
      <c r="D38" s="2"/>
      <c r="E38" s="2"/>
      <c r="F38" s="2"/>
    </row>
    <row r="39" spans="1:6" ht="33" customHeight="1">
      <c r="A39" s="138" t="s">
        <v>39</v>
      </c>
      <c r="B39" s="138"/>
      <c r="C39" s="138"/>
      <c r="D39" s="138"/>
      <c r="E39" s="138"/>
      <c r="F39" s="138"/>
    </row>
    <row r="40" spans="1:6" ht="15">
      <c r="A40" s="1"/>
      <c r="B40" s="1"/>
      <c r="C40" s="1"/>
      <c r="D40" s="2"/>
      <c r="E40" s="2"/>
      <c r="F40" s="2"/>
    </row>
    <row r="41" spans="1:6" ht="71.25">
      <c r="A41" s="8"/>
      <c r="B41" s="9" t="s">
        <v>4</v>
      </c>
      <c r="C41" s="9" t="s">
        <v>5</v>
      </c>
      <c r="D41" s="9" t="s">
        <v>6</v>
      </c>
      <c r="E41" s="9" t="s">
        <v>7</v>
      </c>
      <c r="F41" s="2"/>
    </row>
    <row r="42" spans="1:5" ht="30.75" customHeight="1">
      <c r="A42" s="139" t="s">
        <v>40</v>
      </c>
      <c r="B42" s="139"/>
      <c r="C42" s="139"/>
      <c r="D42" s="12">
        <f>D43</f>
        <v>8.0364</v>
      </c>
      <c r="E42" s="12">
        <f>E43</f>
        <v>0.01</v>
      </c>
    </row>
    <row r="43" spans="1:5" ht="30">
      <c r="A43" s="15">
        <v>1</v>
      </c>
      <c r="B43" s="45" t="s">
        <v>41</v>
      </c>
      <c r="C43" s="45" t="s">
        <v>42</v>
      </c>
      <c r="D43" s="17">
        <f>E43*12*$D$2</f>
        <v>8.0364</v>
      </c>
      <c r="E43" s="46">
        <v>0.01</v>
      </c>
    </row>
    <row r="44" spans="1:5" ht="32.25" customHeight="1">
      <c r="A44" s="139" t="s">
        <v>43</v>
      </c>
      <c r="B44" s="139"/>
      <c r="C44" s="139"/>
      <c r="D44" s="12">
        <f>D45+D46+D47</f>
        <v>241.09199999999998</v>
      </c>
      <c r="E44" s="12">
        <f>E45+E46+E47</f>
        <v>0.3</v>
      </c>
    </row>
    <row r="45" spans="1:5" ht="28.5" customHeight="1">
      <c r="A45" s="15">
        <v>2</v>
      </c>
      <c r="B45" s="45" t="s">
        <v>44</v>
      </c>
      <c r="C45" s="45" t="s">
        <v>45</v>
      </c>
      <c r="D45" s="17">
        <f>E45*$D$2*12</f>
        <v>16.0728</v>
      </c>
      <c r="E45" s="46">
        <v>0.02</v>
      </c>
    </row>
    <row r="46" spans="1:5" ht="30">
      <c r="A46" s="15">
        <v>3</v>
      </c>
      <c r="B46" s="87" t="s">
        <v>153</v>
      </c>
      <c r="C46" s="87" t="s">
        <v>154</v>
      </c>
      <c r="D46" s="17">
        <f>E46*$D$2*12</f>
        <v>176.80079999999998</v>
      </c>
      <c r="E46" s="46">
        <v>0.22</v>
      </c>
    </row>
    <row r="47" spans="1:5" ht="30">
      <c r="A47" s="15">
        <v>4</v>
      </c>
      <c r="B47" s="47" t="s">
        <v>46</v>
      </c>
      <c r="C47" s="8" t="s">
        <v>165</v>
      </c>
      <c r="D47" s="17">
        <f>E47*$D$2*12</f>
        <v>48.2184</v>
      </c>
      <c r="E47" s="18">
        <v>0.06</v>
      </c>
    </row>
    <row r="48" spans="1:6" ht="15">
      <c r="A48" s="9"/>
      <c r="B48" s="27" t="s">
        <v>27</v>
      </c>
      <c r="C48" s="27"/>
      <c r="D48" s="48">
        <f>D42+D44</f>
        <v>249.1284</v>
      </c>
      <c r="E48" s="12">
        <f>E42+E44</f>
        <v>0.31</v>
      </c>
      <c r="F48" s="6"/>
    </row>
    <row r="49" spans="1:6" ht="15">
      <c r="A49" s="2"/>
      <c r="B49" s="2"/>
      <c r="C49" s="2"/>
      <c r="D49" s="2"/>
      <c r="E49" s="2"/>
      <c r="F49" s="2"/>
    </row>
    <row r="50" spans="1:6" ht="15">
      <c r="A50" s="34"/>
      <c r="B50" s="34"/>
      <c r="C50" s="34"/>
      <c r="D50" s="34"/>
      <c r="E50" s="34"/>
      <c r="F50" s="35"/>
    </row>
    <row r="51" spans="1:6" ht="105">
      <c r="A51" s="11" t="s">
        <v>28</v>
      </c>
      <c r="B51" s="11" t="s">
        <v>29</v>
      </c>
      <c r="C51" s="11" t="s">
        <v>30</v>
      </c>
      <c r="D51" s="11" t="s">
        <v>31</v>
      </c>
      <c r="E51" s="11" t="s">
        <v>47</v>
      </c>
      <c r="F51" s="11" t="s">
        <v>33</v>
      </c>
    </row>
    <row r="52" spans="1:6" ht="15">
      <c r="A52" s="11">
        <v>1</v>
      </c>
      <c r="B52" s="8" t="s">
        <v>123</v>
      </c>
      <c r="C52" s="11" t="s">
        <v>82</v>
      </c>
      <c r="D52" s="36">
        <v>401</v>
      </c>
      <c r="E52" s="50">
        <f>D52/12/$D$2</f>
        <v>0.49897964262605143</v>
      </c>
      <c r="F52" s="38">
        <v>2</v>
      </c>
    </row>
    <row r="53" spans="1:6" ht="15">
      <c r="A53" s="51"/>
      <c r="B53" s="51" t="s">
        <v>36</v>
      </c>
      <c r="C53" s="51"/>
      <c r="D53" s="52">
        <f>SUM(D52:D52)</f>
        <v>401</v>
      </c>
      <c r="E53" s="53">
        <f>SUM(E52:E52)</f>
        <v>0.49897964262605143</v>
      </c>
      <c r="F53" s="51"/>
    </row>
    <row r="55" spans="2:4" ht="43.5">
      <c r="B55" s="30" t="s">
        <v>198</v>
      </c>
      <c r="D55" s="81">
        <v>4658.757962678554</v>
      </c>
    </row>
  </sheetData>
  <mergeCells count="10">
    <mergeCell ref="A4:E4"/>
    <mergeCell ref="A7:C7"/>
    <mergeCell ref="A15:C15"/>
    <mergeCell ref="A18:C18"/>
    <mergeCell ref="A42:C42"/>
    <mergeCell ref="A44:C44"/>
    <mergeCell ref="A21:C21"/>
    <mergeCell ref="A24:C24"/>
    <mergeCell ref="A26:C26"/>
    <mergeCell ref="A39:F39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G27" sqref="G27:H27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C1" s="93" t="s">
        <v>338</v>
      </c>
    </row>
    <row r="2" spans="1:6" ht="24" customHeight="1">
      <c r="A2" s="2"/>
      <c r="B2" s="1" t="s">
        <v>339</v>
      </c>
      <c r="C2" s="4"/>
      <c r="D2" s="5">
        <v>358.9</v>
      </c>
      <c r="E2" s="6" t="s">
        <v>2</v>
      </c>
      <c r="F2" s="2"/>
    </row>
    <row r="3" spans="1:6" ht="11.25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7.5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30.75" customHeight="1">
      <c r="A7" s="145" t="s">
        <v>8</v>
      </c>
      <c r="B7" s="146"/>
      <c r="C7" s="146"/>
      <c r="D7" s="12">
        <f>SUM(D8:D13)</f>
        <v>6661.79853738281</v>
      </c>
      <c r="E7" s="12">
        <f>SUM(E8:E13)</f>
        <v>1.546809356687752</v>
      </c>
      <c r="F7" s="13"/>
      <c r="G7" s="14"/>
    </row>
    <row r="8" spans="1:7" ht="34.5" customHeight="1">
      <c r="A8" s="15">
        <v>1</v>
      </c>
      <c r="B8" s="8" t="s">
        <v>153</v>
      </c>
      <c r="C8" s="16" t="s">
        <v>147</v>
      </c>
      <c r="D8" s="17">
        <f aca="true" t="shared" si="0" ref="D8:D13">E8*$D$2*12</f>
        <v>542.3104393749666</v>
      </c>
      <c r="E8" s="17">
        <v>0.12591957819610072</v>
      </c>
      <c r="F8" s="2"/>
      <c r="G8" s="14"/>
    </row>
    <row r="9" spans="1:7" ht="15.75" customHeight="1">
      <c r="A9" s="15">
        <v>2</v>
      </c>
      <c r="B9" s="8" t="s">
        <v>9</v>
      </c>
      <c r="C9" s="16" t="s">
        <v>10</v>
      </c>
      <c r="D9" s="17">
        <f t="shared" si="0"/>
        <v>391.2954698649246</v>
      </c>
      <c r="E9" s="17">
        <v>0.09085526838137938</v>
      </c>
      <c r="F9" s="2"/>
      <c r="G9" s="14"/>
    </row>
    <row r="10" spans="1:7" ht="30">
      <c r="A10" s="15">
        <v>3</v>
      </c>
      <c r="B10" s="8" t="s">
        <v>158</v>
      </c>
      <c r="C10" s="22" t="s">
        <v>149</v>
      </c>
      <c r="D10" s="17">
        <f t="shared" si="0"/>
        <v>693.2945957918578</v>
      </c>
      <c r="E10" s="17">
        <v>0.16097673348933264</v>
      </c>
      <c r="F10" s="2"/>
      <c r="G10" s="14"/>
    </row>
    <row r="11" spans="1:7" ht="60">
      <c r="A11" s="15">
        <v>4</v>
      </c>
      <c r="B11" s="16" t="s">
        <v>159</v>
      </c>
      <c r="C11" s="16" t="s">
        <v>160</v>
      </c>
      <c r="D11" s="17">
        <f t="shared" si="0"/>
        <v>3697.5711775565696</v>
      </c>
      <c r="E11" s="17">
        <v>0.858542578609773</v>
      </c>
      <c r="F11" s="2"/>
      <c r="G11" s="14"/>
    </row>
    <row r="12" spans="1:7" ht="15.75" customHeight="1">
      <c r="A12" s="15">
        <v>5</v>
      </c>
      <c r="B12" s="22" t="s">
        <v>46</v>
      </c>
      <c r="C12" s="22" t="s">
        <v>161</v>
      </c>
      <c r="D12" s="17">
        <f t="shared" si="0"/>
        <v>1309.5942702480615</v>
      </c>
      <c r="E12" s="17">
        <v>0.30407594275287025</v>
      </c>
      <c r="F12" s="2"/>
      <c r="G12" s="14"/>
    </row>
    <row r="13" spans="1:7" ht="15.75" customHeight="1">
      <c r="A13" s="15">
        <v>6</v>
      </c>
      <c r="B13" s="22" t="s">
        <v>150</v>
      </c>
      <c r="C13" s="22" t="s">
        <v>18</v>
      </c>
      <c r="D13" s="17">
        <f t="shared" si="0"/>
        <v>27.732584546429557</v>
      </c>
      <c r="E13" s="17">
        <v>0.00643925525829608</v>
      </c>
      <c r="F13" s="21"/>
      <c r="G13" s="14"/>
    </row>
    <row r="14" spans="1:7" ht="15">
      <c r="A14" s="140" t="s">
        <v>11</v>
      </c>
      <c r="B14" s="141"/>
      <c r="C14" s="142"/>
      <c r="D14" s="12">
        <f>SUM(D15:D16)</f>
        <v>4144.794310477026</v>
      </c>
      <c r="E14" s="12">
        <f>SUM(E15:E16)</f>
        <v>0.9623837444220826</v>
      </c>
      <c r="F14" s="19"/>
      <c r="G14" s="14"/>
    </row>
    <row r="15" spans="1:7" ht="15.75" customHeight="1">
      <c r="A15" s="15">
        <v>7</v>
      </c>
      <c r="B15" s="8" t="s">
        <v>12</v>
      </c>
      <c r="C15" s="16" t="s">
        <v>13</v>
      </c>
      <c r="D15" s="17">
        <f>E15*$D$2*12</f>
        <v>3792.126542064982</v>
      </c>
      <c r="E15" s="20">
        <v>0.8804974788857115</v>
      </c>
      <c r="F15" s="21"/>
      <c r="G15" s="14"/>
    </row>
    <row r="16" spans="1:7" ht="30">
      <c r="A16" s="15">
        <v>8</v>
      </c>
      <c r="B16" s="22" t="s">
        <v>14</v>
      </c>
      <c r="C16" s="22" t="s">
        <v>15</v>
      </c>
      <c r="D16" s="17">
        <f>E16*$D$2*12</f>
        <v>352.6677684120432</v>
      </c>
      <c r="E16" s="17">
        <v>0.08188626553637113</v>
      </c>
      <c r="F16" s="21"/>
      <c r="G16" s="14"/>
    </row>
    <row r="17" spans="1:7" ht="15">
      <c r="A17" s="140" t="s">
        <v>16</v>
      </c>
      <c r="B17" s="143"/>
      <c r="C17" s="144"/>
      <c r="D17" s="23">
        <f>SUM(D18:D19)</f>
        <v>181.16445330710684</v>
      </c>
      <c r="E17" s="23">
        <f>SUM(E18:E19)</f>
        <v>0.0420647472153587</v>
      </c>
      <c r="F17" s="21"/>
      <c r="G17" s="14"/>
    </row>
    <row r="18" spans="1:7" ht="18.75" customHeight="1">
      <c r="A18" s="15">
        <v>9</v>
      </c>
      <c r="B18" s="22" t="s">
        <v>17</v>
      </c>
      <c r="C18" s="22" t="s">
        <v>18</v>
      </c>
      <c r="D18" s="17">
        <f>E18*12*$D$2</f>
        <v>85.80041809318055</v>
      </c>
      <c r="E18" s="17">
        <v>0.019922080916964</v>
      </c>
      <c r="F18" s="13"/>
      <c r="G18" s="14"/>
    </row>
    <row r="19" spans="1:7" ht="60">
      <c r="A19" s="15">
        <v>10</v>
      </c>
      <c r="B19" s="22" t="s">
        <v>311</v>
      </c>
      <c r="C19" s="22" t="s">
        <v>18</v>
      </c>
      <c r="D19" s="17">
        <f>E19*12*$D$2</f>
        <v>95.36403521392629</v>
      </c>
      <c r="E19" s="17">
        <v>0.0221426662983947</v>
      </c>
      <c r="F19" s="2"/>
      <c r="G19" s="14"/>
    </row>
    <row r="20" spans="1:7" ht="15">
      <c r="A20" s="145" t="s">
        <v>20</v>
      </c>
      <c r="B20" s="146"/>
      <c r="C20" s="146"/>
      <c r="D20" s="24">
        <f>SUM(D21:D22)</f>
        <v>3839.2642880059784</v>
      </c>
      <c r="E20" s="24">
        <f>SUM(E21:E22)</f>
        <v>0.8914424370776397</v>
      </c>
      <c r="F20" s="2"/>
      <c r="G20" s="14"/>
    </row>
    <row r="21" spans="1:7" ht="75">
      <c r="A21" s="15">
        <v>11</v>
      </c>
      <c r="B21" s="22" t="s">
        <v>78</v>
      </c>
      <c r="C21" s="22" t="s">
        <v>18</v>
      </c>
      <c r="D21" s="17">
        <f>E21*12*$D$2</f>
        <v>219.9705895691226</v>
      </c>
      <c r="E21" s="17">
        <v>0.051075181008898164</v>
      </c>
      <c r="F21" s="2"/>
      <c r="G21" s="14"/>
    </row>
    <row r="22" spans="1:7" ht="105">
      <c r="A22" s="15">
        <v>12</v>
      </c>
      <c r="B22" s="22" t="s">
        <v>22</v>
      </c>
      <c r="C22" s="22" t="s">
        <v>107</v>
      </c>
      <c r="D22" s="17">
        <f>E22*12*$D$2</f>
        <v>3619.2936984368557</v>
      </c>
      <c r="E22" s="20">
        <v>0.8403672560687415</v>
      </c>
      <c r="F22" s="2"/>
      <c r="G22" s="14"/>
    </row>
    <row r="23" spans="1:7" ht="15">
      <c r="A23" s="145" t="s">
        <v>24</v>
      </c>
      <c r="B23" s="145"/>
      <c r="C23" s="145"/>
      <c r="D23" s="25">
        <f>SUM(D24)</f>
        <v>321.5520000000003</v>
      </c>
      <c r="E23" s="25">
        <f>SUM(E24)</f>
        <v>0.07466146558930072</v>
      </c>
      <c r="F23" s="2"/>
      <c r="G23" s="14"/>
    </row>
    <row r="24" spans="1:7" ht="15">
      <c r="A24" s="15">
        <v>13</v>
      </c>
      <c r="B24" s="22" t="s">
        <v>25</v>
      </c>
      <c r="C24" s="22" t="s">
        <v>26</v>
      </c>
      <c r="D24" s="17">
        <f>E24*12*$D$2</f>
        <v>321.5520000000003</v>
      </c>
      <c r="E24" s="26">
        <v>0.07466146558930072</v>
      </c>
      <c r="F24" s="2"/>
      <c r="G24" s="14"/>
    </row>
    <row r="25" spans="1:7" ht="15">
      <c r="A25" s="145" t="s">
        <v>340</v>
      </c>
      <c r="B25" s="145"/>
      <c r="C25" s="145"/>
      <c r="D25" s="25">
        <f>SUM(D26:D26)</f>
        <v>193.22216193412015</v>
      </c>
      <c r="E25" s="25">
        <f>SUM(E26:E26)</f>
        <v>0.044864438082595</v>
      </c>
      <c r="F25" s="2"/>
      <c r="G25" s="14"/>
    </row>
    <row r="26" spans="1:7" ht="30">
      <c r="A26" s="15">
        <v>14</v>
      </c>
      <c r="B26" s="22" t="s">
        <v>152</v>
      </c>
      <c r="C26" s="22" t="s">
        <v>15</v>
      </c>
      <c r="D26" s="17">
        <f>E26*12*$D$2</f>
        <v>193.22216193412015</v>
      </c>
      <c r="E26" s="20">
        <f>0.040494438082595+0.00437</f>
        <v>0.044864438082595</v>
      </c>
      <c r="F26" s="2"/>
      <c r="G26" s="14"/>
    </row>
    <row r="27" spans="1:7" ht="15">
      <c r="A27" s="9"/>
      <c r="B27" s="27" t="s">
        <v>27</v>
      </c>
      <c r="C27" s="27"/>
      <c r="D27" s="48">
        <f>+D7+D14+D17+D20+D23+D25</f>
        <v>15341.79575110704</v>
      </c>
      <c r="E27" s="12">
        <f>+E7+E14+E17+E20+E23+E25</f>
        <v>3.562226189074729</v>
      </c>
      <c r="F27" s="6"/>
      <c r="G27" s="14"/>
    </row>
    <row r="28" spans="1:6" ht="9" customHeight="1">
      <c r="A28" s="29"/>
      <c r="B28" s="30"/>
      <c r="C28" s="31"/>
      <c r="D28" s="128"/>
      <c r="E28" s="64"/>
      <c r="F28" s="2"/>
    </row>
    <row r="29" spans="1:6" ht="15">
      <c r="A29" s="34"/>
      <c r="B29" s="34"/>
      <c r="C29" s="34"/>
      <c r="D29" s="34"/>
      <c r="E29" s="34"/>
      <c r="F29" s="35"/>
    </row>
    <row r="30" spans="1:6" ht="105">
      <c r="A30" s="11" t="s">
        <v>28</v>
      </c>
      <c r="B30" s="11" t="s">
        <v>29</v>
      </c>
      <c r="C30" s="11" t="s">
        <v>30</v>
      </c>
      <c r="D30" s="11" t="s">
        <v>31</v>
      </c>
      <c r="E30" s="11" t="s">
        <v>32</v>
      </c>
      <c r="F30" s="11" t="s">
        <v>33</v>
      </c>
    </row>
    <row r="31" spans="1:6" ht="15">
      <c r="A31" s="11">
        <v>1</v>
      </c>
      <c r="B31" s="124" t="s">
        <v>341</v>
      </c>
      <c r="C31" s="11" t="s">
        <v>342</v>
      </c>
      <c r="D31" s="11">
        <v>9380</v>
      </c>
      <c r="E31" s="37">
        <f>D31/12/$D$2</f>
        <v>2.177951147023312</v>
      </c>
      <c r="F31" s="11">
        <v>2</v>
      </c>
    </row>
    <row r="32" spans="1:6" ht="15">
      <c r="A32" s="11"/>
      <c r="B32" s="39" t="s">
        <v>36</v>
      </c>
      <c r="C32" s="10"/>
      <c r="D32" s="54">
        <f>SUM(D31:D31)</f>
        <v>9380</v>
      </c>
      <c r="E32" s="40">
        <f>SUM(E31:E31)</f>
        <v>2.177951147023312</v>
      </c>
      <c r="F32" s="41"/>
    </row>
    <row r="33" spans="1:6" ht="15">
      <c r="A33" s="29"/>
      <c r="B33" s="30"/>
      <c r="C33" s="42"/>
      <c r="D33" s="42"/>
      <c r="E33" s="42"/>
      <c r="F33" s="42"/>
    </row>
    <row r="34" spans="1:6" ht="29.25">
      <c r="A34" s="29"/>
      <c r="B34" s="30" t="s">
        <v>37</v>
      </c>
      <c r="C34" s="43">
        <f>D27+D32</f>
        <v>24721.79575110704</v>
      </c>
      <c r="D34" s="43"/>
      <c r="E34" s="43"/>
      <c r="F34" s="42"/>
    </row>
    <row r="35" spans="1:6" ht="15">
      <c r="A35" s="29"/>
      <c r="B35" s="30" t="s">
        <v>38</v>
      </c>
      <c r="C35" s="44">
        <f>E27+E32</f>
        <v>5.740177336098041</v>
      </c>
      <c r="D35" s="42"/>
      <c r="E35" s="42"/>
      <c r="F35" s="42"/>
    </row>
    <row r="36" spans="1:6" ht="15">
      <c r="A36" s="29"/>
      <c r="B36" s="30"/>
      <c r="C36" s="44"/>
      <c r="D36" s="42"/>
      <c r="E36" s="42"/>
      <c r="F36" s="42"/>
    </row>
    <row r="37" spans="1:6" ht="15">
      <c r="A37" s="2"/>
      <c r="B37" s="2"/>
      <c r="C37" s="2"/>
      <c r="D37" s="2"/>
      <c r="E37" s="2"/>
      <c r="F37" s="2"/>
    </row>
    <row r="38" spans="1:6" ht="33" customHeight="1">
      <c r="A38" s="138" t="s">
        <v>39</v>
      </c>
      <c r="B38" s="138"/>
      <c r="C38" s="138"/>
      <c r="D38" s="138"/>
      <c r="E38" s="138"/>
      <c r="F38" s="138"/>
    </row>
    <row r="39" spans="1:6" ht="15">
      <c r="A39" s="1"/>
      <c r="B39" s="1"/>
      <c r="C39" s="1"/>
      <c r="D39" s="2"/>
      <c r="E39" s="2"/>
      <c r="F39" s="2"/>
    </row>
    <row r="40" spans="1:6" ht="71.25">
      <c r="A40" s="8"/>
      <c r="B40" s="9" t="s">
        <v>4</v>
      </c>
      <c r="C40" s="9" t="s">
        <v>5</v>
      </c>
      <c r="D40" s="9" t="s">
        <v>6</v>
      </c>
      <c r="E40" s="9" t="s">
        <v>7</v>
      </c>
      <c r="F40" s="2"/>
    </row>
    <row r="41" spans="1:5" ht="15">
      <c r="A41" s="139" t="s">
        <v>40</v>
      </c>
      <c r="B41" s="139"/>
      <c r="C41" s="139"/>
      <c r="D41" s="12">
        <f>D42+D43</f>
        <v>86.136</v>
      </c>
      <c r="E41" s="12">
        <f>E42+E43</f>
        <v>0.02</v>
      </c>
    </row>
    <row r="42" spans="1:5" ht="30">
      <c r="A42" s="15" t="s">
        <v>290</v>
      </c>
      <c r="B42" s="45" t="s">
        <v>197</v>
      </c>
      <c r="C42" s="45" t="s">
        <v>303</v>
      </c>
      <c r="D42" s="17">
        <f>E42*12*$D$2</f>
        <v>43.068</v>
      </c>
      <c r="E42" s="46">
        <v>0.01</v>
      </c>
    </row>
    <row r="43" spans="1:5" ht="30">
      <c r="A43" s="15" t="s">
        <v>304</v>
      </c>
      <c r="B43" s="45" t="s">
        <v>41</v>
      </c>
      <c r="C43" s="45" t="s">
        <v>213</v>
      </c>
      <c r="D43" s="17">
        <f>E43*12*$D$2</f>
        <v>43.068</v>
      </c>
      <c r="E43" s="46">
        <v>0.01</v>
      </c>
    </row>
    <row r="44" spans="1:5" ht="32.25" customHeight="1">
      <c r="A44" s="139" t="s">
        <v>43</v>
      </c>
      <c r="B44" s="139"/>
      <c r="C44" s="139"/>
      <c r="D44" s="12">
        <f>D45+D46+D47</f>
        <v>1292.04</v>
      </c>
      <c r="E44" s="12">
        <f>E45+E46+E47</f>
        <v>0.3</v>
      </c>
    </row>
    <row r="45" spans="1:5" ht="47.25" customHeight="1">
      <c r="A45" s="15" t="s">
        <v>305</v>
      </c>
      <c r="B45" s="45" t="s">
        <v>44</v>
      </c>
      <c r="C45" s="45" t="s">
        <v>45</v>
      </c>
      <c r="D45" s="17">
        <f>E45*$D$2*12</f>
        <v>86.136</v>
      </c>
      <c r="E45" s="46">
        <v>0.02</v>
      </c>
    </row>
    <row r="46" spans="1:5" ht="30">
      <c r="A46" s="15" t="s">
        <v>306</v>
      </c>
      <c r="B46" s="87" t="s">
        <v>153</v>
      </c>
      <c r="C46" s="87" t="s">
        <v>343</v>
      </c>
      <c r="D46" s="17">
        <f>E46*$D$2*12</f>
        <v>947.496</v>
      </c>
      <c r="E46" s="46">
        <v>0.22</v>
      </c>
    </row>
    <row r="47" spans="1:5" ht="15">
      <c r="A47" s="15" t="s">
        <v>292</v>
      </c>
      <c r="B47" s="47" t="s">
        <v>46</v>
      </c>
      <c r="C47" s="8" t="s">
        <v>213</v>
      </c>
      <c r="D47" s="17">
        <f>E47*$D$2*12</f>
        <v>258.408</v>
      </c>
      <c r="E47" s="18">
        <v>0.06</v>
      </c>
    </row>
    <row r="48" spans="1:6" ht="15">
      <c r="A48" s="9"/>
      <c r="B48" s="27" t="s">
        <v>27</v>
      </c>
      <c r="C48" s="27"/>
      <c r="D48" s="48">
        <f>D41+D44</f>
        <v>1378.176</v>
      </c>
      <c r="E48" s="12">
        <f>E41+E44</f>
        <v>0.32</v>
      </c>
      <c r="F48" s="6"/>
    </row>
    <row r="49" spans="1:6" ht="15">
      <c r="A49" s="2"/>
      <c r="B49" s="2"/>
      <c r="C49" s="2"/>
      <c r="D49" s="2"/>
      <c r="E49" s="2"/>
      <c r="F49" s="2"/>
    </row>
    <row r="51" spans="1:6" ht="105">
      <c r="A51" s="11" t="s">
        <v>28</v>
      </c>
      <c r="B51" s="11" t="s">
        <v>29</v>
      </c>
      <c r="C51" s="11" t="s">
        <v>30</v>
      </c>
      <c r="D51" s="11" t="s">
        <v>31</v>
      </c>
      <c r="E51" s="11" t="s">
        <v>32</v>
      </c>
      <c r="F51" s="11" t="s">
        <v>33</v>
      </c>
    </row>
    <row r="52" spans="1:6" ht="15">
      <c r="A52" s="11">
        <v>1</v>
      </c>
      <c r="B52" s="124" t="s">
        <v>341</v>
      </c>
      <c r="C52" s="11" t="s">
        <v>170</v>
      </c>
      <c r="D52" s="11">
        <v>2600</v>
      </c>
      <c r="E52" s="37">
        <f>D52/12/$D$2</f>
        <v>0.6036964799851398</v>
      </c>
      <c r="F52" s="11">
        <v>2</v>
      </c>
    </row>
    <row r="53" spans="1:6" ht="15">
      <c r="A53" s="11"/>
      <c r="B53" s="39" t="s">
        <v>36</v>
      </c>
      <c r="C53" s="10"/>
      <c r="D53" s="54">
        <f>SUM(D52:D52)</f>
        <v>2600</v>
      </c>
      <c r="E53" s="40">
        <f>SUM(E52:E52)</f>
        <v>0.6036964799851398</v>
      </c>
      <c r="F53" s="41"/>
    </row>
    <row r="56" spans="2:3" ht="29.25">
      <c r="B56" s="30" t="s">
        <v>344</v>
      </c>
      <c r="C56" s="43">
        <v>24721.79575110704</v>
      </c>
    </row>
  </sheetData>
  <sheetProtection/>
  <mergeCells count="10">
    <mergeCell ref="A41:C41"/>
    <mergeCell ref="A44:C44"/>
    <mergeCell ref="A14:C14"/>
    <mergeCell ref="A17:C17"/>
    <mergeCell ref="A20:C20"/>
    <mergeCell ref="A23:C23"/>
    <mergeCell ref="A4:E4"/>
    <mergeCell ref="A7:C7"/>
    <mergeCell ref="A25:C25"/>
    <mergeCell ref="A38:F38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73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314</v>
      </c>
    </row>
    <row r="2" spans="1:6" ht="39" customHeight="1">
      <c r="A2" s="2"/>
      <c r="B2" s="1" t="s">
        <v>309</v>
      </c>
      <c r="C2" s="4"/>
      <c r="D2" s="5">
        <v>104.3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1480.2836823132236</v>
      </c>
      <c r="E7" s="12">
        <f>SUM(E8:E9)</f>
        <v>1.182713073116989</v>
      </c>
      <c r="F7" s="19"/>
      <c r="G7" s="125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1354.3309078803509</v>
      </c>
      <c r="E8" s="20">
        <v>1.0820796643339332</v>
      </c>
      <c r="F8" s="21"/>
      <c r="G8" s="127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125.95277443287267</v>
      </c>
      <c r="E9" s="17">
        <v>0.10063340878305584</v>
      </c>
      <c r="F9" s="21"/>
      <c r="G9" s="127"/>
    </row>
    <row r="10" spans="1:7" ht="15">
      <c r="A10" s="140" t="s">
        <v>64</v>
      </c>
      <c r="B10" s="143"/>
      <c r="C10" s="144"/>
      <c r="D10" s="23">
        <f>SUM(D11:D12)</f>
        <v>165.5287452994373</v>
      </c>
      <c r="E10" s="23">
        <f>SUM(E11:E12)</f>
        <v>0.13225371148884413</v>
      </c>
      <c r="F10" s="21"/>
      <c r="G10" s="125"/>
    </row>
    <row r="11" spans="1:7" ht="15">
      <c r="A11" s="15">
        <v>3</v>
      </c>
      <c r="B11" s="22" t="s">
        <v>310</v>
      </c>
      <c r="C11" s="22" t="s">
        <v>18</v>
      </c>
      <c r="D11" s="17">
        <f>E11*12*$D$2</f>
        <v>94.38045990249843</v>
      </c>
      <c r="E11" s="18">
        <v>0.07540784587927328</v>
      </c>
      <c r="F11" s="103"/>
      <c r="G11" s="127"/>
    </row>
    <row r="12" spans="1:7" ht="60">
      <c r="A12" s="15">
        <v>4</v>
      </c>
      <c r="B12" s="22" t="s">
        <v>311</v>
      </c>
      <c r="C12" s="22" t="s">
        <v>18</v>
      </c>
      <c r="D12" s="17">
        <f>E12*12*$D$2</f>
        <v>71.14828539693887</v>
      </c>
      <c r="E12" s="17">
        <v>0.05684586560957085</v>
      </c>
      <c r="F12" s="2"/>
      <c r="G12" s="127"/>
    </row>
    <row r="13" spans="1:7" ht="15">
      <c r="A13" s="145" t="s">
        <v>67</v>
      </c>
      <c r="B13" s="146"/>
      <c r="C13" s="146"/>
      <c r="D13" s="24">
        <f>SUM(D14:D15)</f>
        <v>342.1394560367068</v>
      </c>
      <c r="E13" s="24">
        <f>SUM(E14:E15)</f>
        <v>0.2733616619021307</v>
      </c>
      <c r="F13" s="2"/>
      <c r="G13" s="125"/>
    </row>
    <row r="14" spans="1:7" ht="60">
      <c r="A14" s="15">
        <v>5</v>
      </c>
      <c r="B14" s="22" t="s">
        <v>86</v>
      </c>
      <c r="C14" s="22" t="s">
        <v>18</v>
      </c>
      <c r="D14" s="17">
        <f>E14*12*$D$2</f>
        <v>33.022451724782094</v>
      </c>
      <c r="E14" s="17">
        <v>0.02638418961711577</v>
      </c>
      <c r="F14" s="2"/>
      <c r="G14" s="127"/>
    </row>
    <row r="15" spans="1:7" ht="60">
      <c r="A15" s="15">
        <v>6</v>
      </c>
      <c r="B15" s="22" t="s">
        <v>22</v>
      </c>
      <c r="C15" s="22" t="s">
        <v>122</v>
      </c>
      <c r="D15" s="17">
        <f>E15*12*$D$2</f>
        <v>309.1170043119247</v>
      </c>
      <c r="E15" s="20">
        <v>0.24697747228501493</v>
      </c>
      <c r="F15" s="2"/>
      <c r="G15" s="127"/>
    </row>
    <row r="16" spans="1:7" ht="15">
      <c r="A16" s="145" t="s">
        <v>70</v>
      </c>
      <c r="B16" s="145"/>
      <c r="C16" s="145"/>
      <c r="D16" s="25">
        <f>SUM(D17)</f>
        <v>189.72664960424666</v>
      </c>
      <c r="E16" s="25">
        <f>SUM(E17)</f>
        <v>0.15158728795481516</v>
      </c>
      <c r="F16" s="2"/>
      <c r="G16" s="125"/>
    </row>
    <row r="17" spans="1:7" ht="15">
      <c r="A17" s="15">
        <v>7</v>
      </c>
      <c r="B17" s="22" t="s">
        <v>25</v>
      </c>
      <c r="C17" s="22" t="s">
        <v>26</v>
      </c>
      <c r="D17" s="17">
        <f>E17*12*$D$2</f>
        <v>189.72664960424666</v>
      </c>
      <c r="E17" s="26">
        <v>0.15158728795481516</v>
      </c>
      <c r="F17" s="2"/>
      <c r="G17" s="127"/>
    </row>
    <row r="18" spans="1:7" ht="15">
      <c r="A18" s="9"/>
      <c r="B18" s="27" t="s">
        <v>27</v>
      </c>
      <c r="C18" s="27"/>
      <c r="D18" s="48">
        <f>+D7+D10+D13+D16</f>
        <v>2177.6785332536147</v>
      </c>
      <c r="E18" s="12">
        <f>+E7+E10+E13+E16</f>
        <v>1.7399157344627791</v>
      </c>
      <c r="F18" s="6"/>
      <c r="G18" s="125"/>
    </row>
    <row r="19" spans="1:7" ht="15">
      <c r="A19" s="29"/>
      <c r="B19" s="30"/>
      <c r="C19" s="31"/>
      <c r="D19" s="32"/>
      <c r="E19" s="33"/>
      <c r="F19" s="2"/>
      <c r="G19" s="126"/>
    </row>
    <row r="20" spans="1:6" ht="15">
      <c r="A20" s="34"/>
      <c r="B20" s="34"/>
      <c r="C20" s="34"/>
      <c r="D20" s="34"/>
      <c r="E20" s="34"/>
      <c r="F20" s="35"/>
    </row>
    <row r="21" spans="1:6" ht="105">
      <c r="A21" s="11" t="s">
        <v>28</v>
      </c>
      <c r="B21" s="11" t="s">
        <v>29</v>
      </c>
      <c r="C21" s="11" t="s">
        <v>30</v>
      </c>
      <c r="D21" s="11" t="s">
        <v>31</v>
      </c>
      <c r="E21" s="11" t="s">
        <v>32</v>
      </c>
      <c r="F21" s="11" t="s">
        <v>33</v>
      </c>
    </row>
    <row r="22" spans="1:6" ht="15">
      <c r="A22" s="11">
        <v>1</v>
      </c>
      <c r="B22" s="8" t="s">
        <v>123</v>
      </c>
      <c r="C22" s="11" t="s">
        <v>170</v>
      </c>
      <c r="D22" s="11">
        <v>2725.8</v>
      </c>
      <c r="E22" s="37">
        <f>D22/12/$D$2</f>
        <v>2.1778523489932886</v>
      </c>
      <c r="F22" s="38">
        <v>2</v>
      </c>
    </row>
    <row r="23" spans="1:6" ht="15">
      <c r="A23" s="11"/>
      <c r="B23" s="39" t="s">
        <v>36</v>
      </c>
      <c r="C23" s="10"/>
      <c r="D23" s="54">
        <f>SUM(D22:D22)</f>
        <v>2725.8</v>
      </c>
      <c r="E23" s="40">
        <f>SUM(E22:E22)</f>
        <v>2.1778523489932886</v>
      </c>
      <c r="F23" s="41"/>
    </row>
    <row r="24" spans="1:6" ht="15">
      <c r="A24" s="29"/>
      <c r="B24" s="30"/>
      <c r="C24" s="42"/>
      <c r="D24" s="42"/>
      <c r="E24" s="42"/>
      <c r="F24" s="42"/>
    </row>
    <row r="25" spans="1:6" ht="29.25">
      <c r="A25" s="29"/>
      <c r="B25" s="30" t="s">
        <v>37</v>
      </c>
      <c r="C25" s="43">
        <f>D18+D23</f>
        <v>4903.478533253615</v>
      </c>
      <c r="D25" s="43"/>
      <c r="E25" s="43"/>
      <c r="F25" s="42"/>
    </row>
    <row r="26" spans="1:6" ht="15">
      <c r="A26" s="29"/>
      <c r="B26" s="30" t="s">
        <v>38</v>
      </c>
      <c r="C26" s="44">
        <f>E18+E23</f>
        <v>3.9177680834560675</v>
      </c>
      <c r="D26" s="42"/>
      <c r="E26" s="42"/>
      <c r="F26" s="42"/>
    </row>
    <row r="27" spans="1:6" ht="15">
      <c r="A27" s="29"/>
      <c r="B27" s="30"/>
      <c r="C27" s="44"/>
      <c r="D27" s="42"/>
      <c r="E27" s="42"/>
      <c r="F27" s="42"/>
    </row>
    <row r="28" spans="1:6" ht="48.75" customHeight="1">
      <c r="A28" s="2"/>
      <c r="B28" s="2"/>
      <c r="C28" s="2"/>
      <c r="D28" s="2"/>
      <c r="E28" s="2"/>
      <c r="F28" s="2"/>
    </row>
    <row r="29" spans="1:6" ht="33" customHeight="1">
      <c r="A29" s="138" t="s">
        <v>39</v>
      </c>
      <c r="B29" s="138"/>
      <c r="C29" s="138"/>
      <c r="D29" s="138"/>
      <c r="E29" s="138"/>
      <c r="F29" s="13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4</v>
      </c>
      <c r="C31" s="9" t="s">
        <v>5</v>
      </c>
      <c r="D31" s="9" t="s">
        <v>6</v>
      </c>
      <c r="E31" s="9" t="s">
        <v>7</v>
      </c>
      <c r="F31" s="2"/>
    </row>
    <row r="32" spans="1:5" ht="32.25" customHeight="1">
      <c r="A32" s="139" t="s">
        <v>312</v>
      </c>
      <c r="B32" s="139"/>
      <c r="C32" s="139"/>
      <c r="D32" s="12">
        <f>D33+D34</f>
        <v>100.128</v>
      </c>
      <c r="E32" s="12">
        <f>E33+E34</f>
        <v>0.08</v>
      </c>
    </row>
    <row r="33" spans="1:5" ht="43.5" customHeight="1">
      <c r="A33" s="15">
        <v>1</v>
      </c>
      <c r="B33" s="45" t="s">
        <v>44</v>
      </c>
      <c r="C33" s="45" t="s">
        <v>45</v>
      </c>
      <c r="D33" s="17">
        <f>E33*$D$2*12</f>
        <v>25.031999999999996</v>
      </c>
      <c r="E33" s="46">
        <v>0.02</v>
      </c>
    </row>
    <row r="34" spans="1:5" ht="15">
      <c r="A34" s="15">
        <v>2</v>
      </c>
      <c r="B34" s="47" t="s">
        <v>46</v>
      </c>
      <c r="C34" s="8" t="s">
        <v>42</v>
      </c>
      <c r="D34" s="17">
        <f>E34*$D$2*12</f>
        <v>75.096</v>
      </c>
      <c r="E34" s="18">
        <v>0.06</v>
      </c>
    </row>
    <row r="35" spans="1:6" ht="15">
      <c r="A35" s="9"/>
      <c r="B35" s="27" t="s">
        <v>27</v>
      </c>
      <c r="C35" s="27"/>
      <c r="D35" s="48">
        <f>+D32</f>
        <v>100.128</v>
      </c>
      <c r="E35" s="12">
        <f>+E32</f>
        <v>0.08</v>
      </c>
      <c r="F35" s="6"/>
    </row>
    <row r="36" spans="1:6" ht="15">
      <c r="A36" s="2"/>
      <c r="B36" s="2"/>
      <c r="C36" s="2"/>
      <c r="D36" s="2"/>
      <c r="E36" s="2"/>
      <c r="F36" s="2"/>
    </row>
    <row r="37" spans="1:6" ht="15">
      <c r="A37" s="34"/>
      <c r="B37" s="34"/>
      <c r="C37" s="34"/>
      <c r="D37" s="34"/>
      <c r="E37" s="34"/>
      <c r="F37" s="35"/>
    </row>
    <row r="38" spans="1:6" ht="105">
      <c r="A38" s="11" t="s">
        <v>28</v>
      </c>
      <c r="B38" s="11" t="s">
        <v>29</v>
      </c>
      <c r="C38" s="11" t="s">
        <v>30</v>
      </c>
      <c r="D38" s="11" t="s">
        <v>31</v>
      </c>
      <c r="E38" s="11" t="s">
        <v>47</v>
      </c>
      <c r="F38" s="11" t="s">
        <v>33</v>
      </c>
    </row>
    <row r="39" spans="1:6" ht="15">
      <c r="A39" s="11">
        <v>1</v>
      </c>
      <c r="B39" s="8" t="s">
        <v>123</v>
      </c>
      <c r="C39" s="11" t="s">
        <v>48</v>
      </c>
      <c r="D39" s="36">
        <v>1090.4</v>
      </c>
      <c r="E39" s="50">
        <f>D39/12/$D$2</f>
        <v>0.871204857782039</v>
      </c>
      <c r="F39" s="38">
        <v>2</v>
      </c>
    </row>
    <row r="40" spans="1:6" ht="15">
      <c r="A40" s="51"/>
      <c r="B40" s="51" t="s">
        <v>36</v>
      </c>
      <c r="C40" s="51"/>
      <c r="D40" s="52">
        <f>SUM(D39:D39)</f>
        <v>1090.4</v>
      </c>
      <c r="E40" s="53">
        <f>SUM(E39:E39)</f>
        <v>0.871204857782039</v>
      </c>
      <c r="F40" s="51"/>
    </row>
    <row r="42" spans="1:6" ht="39" customHeight="1">
      <c r="A42" s="2"/>
      <c r="B42" s="1" t="s">
        <v>315</v>
      </c>
      <c r="C42" s="4"/>
      <c r="D42" s="5">
        <v>102.75</v>
      </c>
      <c r="E42" s="6" t="s">
        <v>2</v>
      </c>
      <c r="F42" s="2"/>
    </row>
    <row r="43" spans="1:6" ht="15">
      <c r="A43" s="2"/>
      <c r="B43" s="7"/>
      <c r="C43" s="2"/>
      <c r="D43" s="2"/>
      <c r="E43" s="2"/>
      <c r="F43" s="2"/>
    </row>
    <row r="44" spans="1:6" ht="30.75" customHeight="1">
      <c r="A44" s="138" t="s">
        <v>3</v>
      </c>
      <c r="B44" s="138"/>
      <c r="C44" s="138"/>
      <c r="D44" s="138"/>
      <c r="E44" s="138"/>
      <c r="F44" s="2"/>
    </row>
    <row r="45" spans="1:6" ht="15">
      <c r="A45" s="1"/>
      <c r="B45" s="1"/>
      <c r="C45" s="1"/>
      <c r="D45" s="1"/>
      <c r="E45" s="1"/>
      <c r="F45" s="2"/>
    </row>
    <row r="46" spans="1:6" ht="71.25">
      <c r="A46" s="8"/>
      <c r="B46" s="9" t="s">
        <v>4</v>
      </c>
      <c r="C46" s="9" t="s">
        <v>5</v>
      </c>
      <c r="D46" s="9" t="s">
        <v>6</v>
      </c>
      <c r="E46" s="9" t="s">
        <v>7</v>
      </c>
      <c r="F46" s="2"/>
    </row>
    <row r="47" spans="1:7" ht="15">
      <c r="A47" s="140" t="s">
        <v>61</v>
      </c>
      <c r="B47" s="141"/>
      <c r="C47" s="142"/>
      <c r="D47" s="12">
        <f>SUM(D48:D49)</f>
        <v>888.1702093879345</v>
      </c>
      <c r="E47" s="12">
        <f>SUM(E48:E49)</f>
        <v>0.7203326921232235</v>
      </c>
      <c r="F47" s="19"/>
      <c r="G47" s="125"/>
    </row>
    <row r="48" spans="1:7" ht="15.75" customHeight="1">
      <c r="A48" s="15">
        <v>1</v>
      </c>
      <c r="B48" s="8" t="s">
        <v>12</v>
      </c>
      <c r="C48" s="16" t="s">
        <v>13</v>
      </c>
      <c r="D48" s="17">
        <f>E48*$D$42*12</f>
        <v>812.5985447282109</v>
      </c>
      <c r="E48" s="20">
        <v>0.659041804321339</v>
      </c>
      <c r="F48" s="21"/>
      <c r="G48" s="127"/>
    </row>
    <row r="49" spans="1:7" ht="30">
      <c r="A49" s="15">
        <v>2</v>
      </c>
      <c r="B49" s="22" t="s">
        <v>14</v>
      </c>
      <c r="C49" s="22" t="s">
        <v>15</v>
      </c>
      <c r="D49" s="17">
        <f>E49*$D$42*12</f>
        <v>75.57166465972361</v>
      </c>
      <c r="E49" s="17">
        <v>0.06129088780188452</v>
      </c>
      <c r="F49" s="21"/>
      <c r="G49" s="127"/>
    </row>
    <row r="50" spans="1:7" ht="15">
      <c r="A50" s="140" t="s">
        <v>64</v>
      </c>
      <c r="B50" s="143"/>
      <c r="C50" s="144"/>
      <c r="D50" s="23">
        <f>SUM(D51:D51)</f>
        <v>38.48540522699295</v>
      </c>
      <c r="E50" s="23">
        <f>SUM(E51:E51)</f>
        <v>0.031212818513376282</v>
      </c>
      <c r="F50" s="21"/>
      <c r="G50" s="125"/>
    </row>
    <row r="51" spans="1:7" ht="60">
      <c r="A51" s="15">
        <v>3</v>
      </c>
      <c r="B51" s="22" t="s">
        <v>311</v>
      </c>
      <c r="C51" s="22" t="s">
        <v>18</v>
      </c>
      <c r="D51" s="17">
        <f>E51*12*$D$42</f>
        <v>38.48540522699295</v>
      </c>
      <c r="E51" s="17">
        <v>0.031212818513376282</v>
      </c>
      <c r="F51" s="2"/>
      <c r="G51" s="127"/>
    </row>
    <row r="52" spans="1:7" ht="15">
      <c r="A52" s="145" t="s">
        <v>67</v>
      </c>
      <c r="B52" s="146"/>
      <c r="C52" s="146"/>
      <c r="D52" s="24">
        <f>SUM(D53:D54)</f>
        <v>916.2064576477422</v>
      </c>
      <c r="E52" s="24">
        <f>SUM(E53:E54)</f>
        <v>0.7430709307767577</v>
      </c>
      <c r="F52" s="2"/>
      <c r="G52" s="125"/>
    </row>
    <row r="53" spans="1:7" ht="60">
      <c r="A53" s="15">
        <v>4</v>
      </c>
      <c r="B53" s="22" t="s">
        <v>316</v>
      </c>
      <c r="C53" s="22" t="s">
        <v>18</v>
      </c>
      <c r="D53" s="17">
        <f>E53*12*$D$42</f>
        <v>100.65687215266303</v>
      </c>
      <c r="E53" s="17">
        <v>0.08163574383833173</v>
      </c>
      <c r="F53" s="2"/>
      <c r="G53" s="127"/>
    </row>
    <row r="54" spans="1:7" ht="75">
      <c r="A54" s="15">
        <v>5</v>
      </c>
      <c r="B54" s="22" t="s">
        <v>22</v>
      </c>
      <c r="C54" s="22" t="s">
        <v>23</v>
      </c>
      <c r="D54" s="17">
        <f>E54*12*$D$42</f>
        <v>815.5495854950792</v>
      </c>
      <c r="E54" s="20">
        <v>0.661435186938426</v>
      </c>
      <c r="F54" s="2"/>
      <c r="G54" s="127"/>
    </row>
    <row r="55" spans="1:7" ht="15">
      <c r="A55" s="145" t="s">
        <v>70</v>
      </c>
      <c r="B55" s="145"/>
      <c r="C55" s="145"/>
      <c r="D55" s="25">
        <f>SUM(D56)</f>
        <v>184.97828378512833</v>
      </c>
      <c r="E55" s="25">
        <f>SUM(E56)</f>
        <v>0.150022938998482</v>
      </c>
      <c r="F55" s="2"/>
      <c r="G55" s="125"/>
    </row>
    <row r="56" spans="1:7" ht="15">
      <c r="A56" s="15">
        <v>6</v>
      </c>
      <c r="B56" s="22" t="s">
        <v>25</v>
      </c>
      <c r="C56" s="22" t="s">
        <v>26</v>
      </c>
      <c r="D56" s="17">
        <f>E56*12*$D$42</f>
        <v>184.97828378512833</v>
      </c>
      <c r="E56" s="26">
        <v>0.150022938998482</v>
      </c>
      <c r="F56" s="2"/>
      <c r="G56" s="127"/>
    </row>
    <row r="57" spans="1:7" ht="15">
      <c r="A57" s="9"/>
      <c r="B57" s="27" t="s">
        <v>27</v>
      </c>
      <c r="C57" s="27"/>
      <c r="D57" s="48">
        <f>+D47+D50+D52+D55</f>
        <v>2027.840356047798</v>
      </c>
      <c r="E57" s="12">
        <f>+E47+E50+E52+E55</f>
        <v>1.6446393804118395</v>
      </c>
      <c r="F57" s="6"/>
      <c r="G57" s="125"/>
    </row>
    <row r="58" spans="1:7" ht="15">
      <c r="A58" s="29"/>
      <c r="B58" s="30"/>
      <c r="C58" s="31"/>
      <c r="D58" s="32"/>
      <c r="E58" s="33"/>
      <c r="F58" s="2"/>
      <c r="G58" s="126"/>
    </row>
    <row r="59" spans="1:6" ht="15">
      <c r="A59" s="34"/>
      <c r="B59" s="34"/>
      <c r="C59" s="34"/>
      <c r="D59" s="34"/>
      <c r="E59" s="34"/>
      <c r="F59" s="35"/>
    </row>
    <row r="60" spans="1:6" ht="105">
      <c r="A60" s="11" t="s">
        <v>28</v>
      </c>
      <c r="B60" s="11" t="s">
        <v>29</v>
      </c>
      <c r="C60" s="11" t="s">
        <v>30</v>
      </c>
      <c r="D60" s="11" t="s">
        <v>31</v>
      </c>
      <c r="E60" s="11" t="s">
        <v>32</v>
      </c>
      <c r="F60" s="11" t="s">
        <v>33</v>
      </c>
    </row>
    <row r="61" spans="1:6" ht="15">
      <c r="A61" s="11">
        <v>1</v>
      </c>
      <c r="B61" s="8" t="s">
        <v>123</v>
      </c>
      <c r="C61" s="11" t="s">
        <v>170</v>
      </c>
      <c r="D61" s="11">
        <v>2685</v>
      </c>
      <c r="E61" s="37">
        <f>D61/12/$D$42</f>
        <v>2.1776155717761556</v>
      </c>
      <c r="F61" s="38">
        <v>2</v>
      </c>
    </row>
    <row r="62" spans="1:6" ht="15">
      <c r="A62" s="11"/>
      <c r="B62" s="39" t="s">
        <v>36</v>
      </c>
      <c r="C62" s="10"/>
      <c r="D62" s="54">
        <f>SUM(D61:D61)</f>
        <v>2685</v>
      </c>
      <c r="E62" s="40">
        <f>SUM(E61:E61)</f>
        <v>2.1776155717761556</v>
      </c>
      <c r="F62" s="41"/>
    </row>
    <row r="63" spans="1:6" ht="15">
      <c r="A63" s="29"/>
      <c r="B63" s="30"/>
      <c r="C63" s="42"/>
      <c r="D63" s="42"/>
      <c r="E63" s="42"/>
      <c r="F63" s="42"/>
    </row>
    <row r="64" spans="1:6" ht="29.25">
      <c r="A64" s="29"/>
      <c r="B64" s="30" t="s">
        <v>37</v>
      </c>
      <c r="C64" s="43">
        <f>D57+D62</f>
        <v>4712.840356047798</v>
      </c>
      <c r="D64" s="43"/>
      <c r="E64" s="43"/>
      <c r="F64" s="42"/>
    </row>
    <row r="65" spans="1:6" ht="15">
      <c r="A65" s="29"/>
      <c r="B65" s="30" t="s">
        <v>38</v>
      </c>
      <c r="C65" s="44">
        <f>E57+E62</f>
        <v>3.822254952187995</v>
      </c>
      <c r="D65" s="42"/>
      <c r="E65" s="42"/>
      <c r="F65" s="42"/>
    </row>
    <row r="66" spans="1:6" ht="15">
      <c r="A66" s="29"/>
      <c r="B66" s="30"/>
      <c r="C66" s="44"/>
      <c r="D66" s="42"/>
      <c r="E66" s="42"/>
      <c r="F66" s="42"/>
    </row>
    <row r="67" spans="1:6" ht="15">
      <c r="A67" s="2"/>
      <c r="B67" s="2"/>
      <c r="C67" s="2"/>
      <c r="D67" s="2"/>
      <c r="E67" s="2"/>
      <c r="F67" s="2"/>
    </row>
    <row r="68" spans="1:6" ht="33" customHeight="1">
      <c r="A68" s="138" t="s">
        <v>39</v>
      </c>
      <c r="B68" s="138"/>
      <c r="C68" s="138"/>
      <c r="D68" s="138"/>
      <c r="E68" s="138"/>
      <c r="F68" s="138"/>
    </row>
    <row r="69" spans="1:6" ht="15">
      <c r="A69" s="1"/>
      <c r="B69" s="1"/>
      <c r="C69" s="1"/>
      <c r="D69" s="2"/>
      <c r="E69" s="2"/>
      <c r="F69" s="2"/>
    </row>
    <row r="70" spans="1:6" ht="71.25">
      <c r="A70" s="8"/>
      <c r="B70" s="9" t="s">
        <v>4</v>
      </c>
      <c r="C70" s="9" t="s">
        <v>5</v>
      </c>
      <c r="D70" s="9" t="s">
        <v>6</v>
      </c>
      <c r="E70" s="9" t="s">
        <v>7</v>
      </c>
      <c r="F70" s="2"/>
    </row>
    <row r="71" spans="1:5" ht="32.25" customHeight="1">
      <c r="A71" s="139" t="s">
        <v>312</v>
      </c>
      <c r="B71" s="139"/>
      <c r="C71" s="139"/>
      <c r="D71" s="12">
        <f>D72+D73</f>
        <v>98.64000000000001</v>
      </c>
      <c r="E71" s="12">
        <f>E72+E73</f>
        <v>0.08</v>
      </c>
    </row>
    <row r="72" spans="1:5" ht="28.5" customHeight="1">
      <c r="A72" s="15">
        <v>1</v>
      </c>
      <c r="B72" s="45" t="s">
        <v>44</v>
      </c>
      <c r="C72" s="45" t="s">
        <v>45</v>
      </c>
      <c r="D72" s="17">
        <f>E72*$D$42*12</f>
        <v>24.660000000000004</v>
      </c>
      <c r="E72" s="46">
        <v>0.02</v>
      </c>
    </row>
    <row r="73" spans="1:5" ht="15">
      <c r="A73" s="15">
        <v>2</v>
      </c>
      <c r="B73" s="47" t="s">
        <v>46</v>
      </c>
      <c r="C73" s="8" t="s">
        <v>42</v>
      </c>
      <c r="D73" s="17">
        <f>E73*$D$42*12</f>
        <v>73.98</v>
      </c>
      <c r="E73" s="18">
        <v>0.06</v>
      </c>
    </row>
    <row r="74" spans="1:6" ht="15">
      <c r="A74" s="9"/>
      <c r="B74" s="27" t="s">
        <v>27</v>
      </c>
      <c r="C74" s="27"/>
      <c r="D74" s="48">
        <f>+D71</f>
        <v>98.64000000000001</v>
      </c>
      <c r="E74" s="12">
        <f>+E71</f>
        <v>0.08</v>
      </c>
      <c r="F74" s="6"/>
    </row>
    <row r="75" spans="1:6" ht="15">
      <c r="A75" s="2"/>
      <c r="B75" s="2"/>
      <c r="C75" s="2"/>
      <c r="D75" s="2"/>
      <c r="E75" s="2"/>
      <c r="F75" s="2"/>
    </row>
    <row r="76" spans="1:6" ht="15">
      <c r="A76" s="34"/>
      <c r="B76" s="34"/>
      <c r="C76" s="34"/>
      <c r="D76" s="34"/>
      <c r="E76" s="34"/>
      <c r="F76" s="35"/>
    </row>
    <row r="77" spans="1:6" ht="105">
      <c r="A77" s="11" t="s">
        <v>28</v>
      </c>
      <c r="B77" s="11" t="s">
        <v>29</v>
      </c>
      <c r="C77" s="11" t="s">
        <v>30</v>
      </c>
      <c r="D77" s="11" t="s">
        <v>31</v>
      </c>
      <c r="E77" s="11" t="s">
        <v>47</v>
      </c>
      <c r="F77" s="11" t="s">
        <v>33</v>
      </c>
    </row>
    <row r="78" spans="1:6" ht="15">
      <c r="A78" s="11">
        <v>1</v>
      </c>
      <c r="B78" s="8" t="s">
        <v>123</v>
      </c>
      <c r="C78" s="11" t="s">
        <v>48</v>
      </c>
      <c r="D78" s="36">
        <v>1074</v>
      </c>
      <c r="E78" s="50">
        <f>D78/12/$D$42</f>
        <v>0.8710462287104623</v>
      </c>
      <c r="F78" s="38">
        <v>2</v>
      </c>
    </row>
    <row r="79" spans="1:6" ht="15">
      <c r="A79" s="51"/>
      <c r="B79" s="51" t="s">
        <v>36</v>
      </c>
      <c r="C79" s="51"/>
      <c r="D79" s="52">
        <f>SUM(D78:D78)</f>
        <v>1074</v>
      </c>
      <c r="E79" s="53">
        <f>SUM(E78:E78)</f>
        <v>0.8710462287104623</v>
      </c>
      <c r="F79" s="51"/>
    </row>
    <row r="81" spans="2:3" ht="29.25">
      <c r="B81" s="30" t="s">
        <v>317</v>
      </c>
      <c r="C81" s="43">
        <f>C25+C64</f>
        <v>9616.318889301412</v>
      </c>
    </row>
  </sheetData>
  <sheetProtection/>
  <mergeCells count="14">
    <mergeCell ref="A4:E4"/>
    <mergeCell ref="A29:F29"/>
    <mergeCell ref="A32:C32"/>
    <mergeCell ref="A7:C7"/>
    <mergeCell ref="A10:C10"/>
    <mergeCell ref="A13:C13"/>
    <mergeCell ref="A16:C16"/>
    <mergeCell ref="A55:C55"/>
    <mergeCell ref="A68:F68"/>
    <mergeCell ref="A71:C71"/>
    <mergeCell ref="A44:E44"/>
    <mergeCell ref="A47:C47"/>
    <mergeCell ref="A50:C50"/>
    <mergeCell ref="A52:C52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439</v>
      </c>
    </row>
    <row r="2" spans="1:6" ht="39" customHeight="1">
      <c r="A2" s="2"/>
      <c r="B2" s="1" t="s">
        <v>440</v>
      </c>
      <c r="C2" s="4"/>
      <c r="D2" s="5">
        <v>91.03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30.75" customHeight="1">
      <c r="A7" s="145" t="s">
        <v>8</v>
      </c>
      <c r="B7" s="146"/>
      <c r="C7" s="146"/>
      <c r="D7" s="12">
        <f>SUM(D8:D8)</f>
        <v>108.69318607359017</v>
      </c>
      <c r="E7" s="12">
        <f>SUM(E8:E8)</f>
        <v>0.09950308146910374</v>
      </c>
      <c r="F7" s="13"/>
    </row>
    <row r="8" spans="1:6" ht="15.75" customHeight="1">
      <c r="A8" s="15">
        <v>1</v>
      </c>
      <c r="B8" s="8" t="s">
        <v>9</v>
      </c>
      <c r="C8" s="16" t="s">
        <v>10</v>
      </c>
      <c r="D8" s="17">
        <f>E8*$D$2*12</f>
        <v>108.69318607359017</v>
      </c>
      <c r="E8" s="18">
        <v>0.09950308146910374</v>
      </c>
      <c r="F8" s="2"/>
    </row>
    <row r="9" spans="1:7" ht="15">
      <c r="A9" s="140" t="s">
        <v>11</v>
      </c>
      <c r="B9" s="141"/>
      <c r="C9" s="142"/>
      <c r="D9" s="12">
        <f>SUM(D10:D11)</f>
        <v>592.1134729252891</v>
      </c>
      <c r="E9" s="12">
        <f>SUM(E10:E11)</f>
        <v>0.5420497573375893</v>
      </c>
      <c r="F9" s="19"/>
      <c r="G9" s="108"/>
    </row>
    <row r="10" spans="1:7" ht="15.75" customHeight="1">
      <c r="A10" s="15">
        <v>2</v>
      </c>
      <c r="B10" s="8" t="s">
        <v>12</v>
      </c>
      <c r="C10" s="16" t="s">
        <v>13</v>
      </c>
      <c r="D10" s="17">
        <f>E10*$D$2*12</f>
        <v>541.73236315214</v>
      </c>
      <c r="E10" s="20">
        <v>0.4959284147644915</v>
      </c>
      <c r="F10" s="21"/>
      <c r="G10" s="108"/>
    </row>
    <row r="11" spans="1:7" ht="30">
      <c r="A11" s="15">
        <v>3</v>
      </c>
      <c r="B11" s="22" t="s">
        <v>14</v>
      </c>
      <c r="C11" s="22" t="s">
        <v>15</v>
      </c>
      <c r="D11" s="17">
        <f>E11*$D$2*12</f>
        <v>50.38110977314909</v>
      </c>
      <c r="E11" s="17">
        <v>0.04612134257309777</v>
      </c>
      <c r="F11" s="21"/>
      <c r="G11" s="108"/>
    </row>
    <row r="12" spans="1:7" ht="15">
      <c r="A12" s="140" t="s">
        <v>16</v>
      </c>
      <c r="B12" s="143"/>
      <c r="C12" s="144"/>
      <c r="D12" s="23">
        <f>SUM(D13:D14)</f>
        <v>27.558041372463755</v>
      </c>
      <c r="E12" s="23">
        <f>SUM(E13:E14)</f>
        <v>0.02522798470510066</v>
      </c>
      <c r="F12" s="21"/>
      <c r="G12" s="108"/>
    </row>
    <row r="13" spans="1:7" ht="18.75" customHeight="1">
      <c r="A13" s="15">
        <v>4</v>
      </c>
      <c r="B13" s="22" t="s">
        <v>17</v>
      </c>
      <c r="C13" s="22" t="s">
        <v>18</v>
      </c>
      <c r="D13" s="17">
        <f>E13*12*$D$2</f>
        <v>10.474060986668176</v>
      </c>
      <c r="E13" s="18">
        <v>0.009588469906137332</v>
      </c>
      <c r="F13" s="13"/>
      <c r="G13" s="116"/>
    </row>
    <row r="14" spans="1:6" ht="60">
      <c r="A14" s="15">
        <v>5</v>
      </c>
      <c r="B14" s="22" t="s">
        <v>19</v>
      </c>
      <c r="C14" s="22" t="s">
        <v>18</v>
      </c>
      <c r="D14" s="17">
        <f>E14*12*$D$2</f>
        <v>17.08398038579558</v>
      </c>
      <c r="E14" s="17">
        <v>0.01563951479896333</v>
      </c>
      <c r="F14" s="2"/>
    </row>
    <row r="15" spans="1:6" ht="15">
      <c r="A15" s="145" t="s">
        <v>20</v>
      </c>
      <c r="B15" s="146"/>
      <c r="C15" s="146"/>
      <c r="D15" s="24">
        <f>SUM(D16:D17)</f>
        <v>867.3857054506212</v>
      </c>
      <c r="E15" s="24">
        <f>SUM(E16:E17)</f>
        <v>0.7940474801810953</v>
      </c>
      <c r="F15" s="2"/>
    </row>
    <row r="16" spans="1:6" ht="60">
      <c r="A16" s="15">
        <v>6</v>
      </c>
      <c r="B16" s="22" t="s">
        <v>86</v>
      </c>
      <c r="C16" s="22" t="s">
        <v>18</v>
      </c>
      <c r="D16" s="17">
        <f>E16*12*$D$2</f>
        <v>47.179974101348776</v>
      </c>
      <c r="E16" s="17">
        <v>0.04319086574146689</v>
      </c>
      <c r="F16" s="2"/>
    </row>
    <row r="17" spans="1:6" ht="60">
      <c r="A17" s="15">
        <v>7</v>
      </c>
      <c r="B17" s="22" t="s">
        <v>22</v>
      </c>
      <c r="C17" s="22" t="s">
        <v>87</v>
      </c>
      <c r="D17" s="17">
        <f>E17*12*$D$2</f>
        <v>820.2057313492725</v>
      </c>
      <c r="E17" s="20">
        <v>0.7508566144396284</v>
      </c>
      <c r="F17" s="2"/>
    </row>
    <row r="18" spans="1:6" ht="15">
      <c r="A18" s="145" t="s">
        <v>24</v>
      </c>
      <c r="B18" s="145"/>
      <c r="C18" s="145"/>
      <c r="D18" s="25">
        <f>SUM(D19)</f>
        <v>325.71471041257684</v>
      </c>
      <c r="E18" s="25">
        <f>SUM(E19)</f>
        <v>0.298175244802608</v>
      </c>
      <c r="F18" s="2"/>
    </row>
    <row r="19" spans="1:6" ht="15">
      <c r="A19" s="15">
        <v>8</v>
      </c>
      <c r="B19" s="22" t="s">
        <v>25</v>
      </c>
      <c r="C19" s="22" t="s">
        <v>26</v>
      </c>
      <c r="D19" s="17">
        <f>E19*12*$D$2</f>
        <v>325.71471041257684</v>
      </c>
      <c r="E19" s="26">
        <f>0.294335244802608+0.00384</f>
        <v>0.298175244802608</v>
      </c>
      <c r="F19" s="2"/>
    </row>
    <row r="20" spans="1:6" ht="15">
      <c r="A20" s="9"/>
      <c r="B20" s="27" t="s">
        <v>27</v>
      </c>
      <c r="C20" s="27"/>
      <c r="D20" s="48">
        <f>D7+D9+D12+D15+D18</f>
        <v>1921.465116234541</v>
      </c>
      <c r="E20" s="12">
        <f>E7+E9+E12+E15+E18</f>
        <v>1.759003548495497</v>
      </c>
      <c r="F20" s="6"/>
    </row>
    <row r="21" spans="1:6" ht="15">
      <c r="A21" s="29"/>
      <c r="B21" s="30"/>
      <c r="C21" s="31"/>
      <c r="D21" s="128"/>
      <c r="E21" s="64"/>
      <c r="F21" s="2"/>
    </row>
    <row r="22" spans="1:6" ht="15">
      <c r="A22" s="34"/>
      <c r="B22" s="34"/>
      <c r="C22" s="34"/>
      <c r="D22" s="34"/>
      <c r="E22" s="34"/>
      <c r="F22" s="35"/>
    </row>
    <row r="23" spans="1:6" ht="105">
      <c r="A23" s="11" t="s">
        <v>28</v>
      </c>
      <c r="B23" s="11" t="s">
        <v>29</v>
      </c>
      <c r="C23" s="11" t="s">
        <v>30</v>
      </c>
      <c r="D23" s="11" t="s">
        <v>31</v>
      </c>
      <c r="E23" s="11" t="s">
        <v>32</v>
      </c>
      <c r="F23" s="11" t="s">
        <v>33</v>
      </c>
    </row>
    <row r="24" spans="1:6" ht="15">
      <c r="A24" s="11">
        <v>1</v>
      </c>
      <c r="B24" s="8" t="s">
        <v>441</v>
      </c>
      <c r="C24" s="11" t="s">
        <v>81</v>
      </c>
      <c r="D24" s="11">
        <v>2200</v>
      </c>
      <c r="E24" s="37">
        <f>D24/12/$D$2</f>
        <v>2.013988062543484</v>
      </c>
      <c r="F24" s="38">
        <v>2</v>
      </c>
    </row>
    <row r="25" spans="1:6" ht="15">
      <c r="A25" s="11"/>
      <c r="B25" s="39" t="s">
        <v>36</v>
      </c>
      <c r="C25" s="10"/>
      <c r="D25" s="54">
        <f>SUM(D24:D24)</f>
        <v>2200</v>
      </c>
      <c r="E25" s="40">
        <f>SUM(E24:E24)</f>
        <v>2.013988062543484</v>
      </c>
      <c r="F25" s="41"/>
    </row>
    <row r="26" spans="1:6" ht="15">
      <c r="A26" s="29"/>
      <c r="B26" s="30"/>
      <c r="C26" s="42"/>
      <c r="D26" s="42"/>
      <c r="E26" s="42"/>
      <c r="F26" s="42"/>
    </row>
    <row r="27" spans="1:6" ht="29.25">
      <c r="A27" s="29"/>
      <c r="B27" s="30" t="s">
        <v>37</v>
      </c>
      <c r="C27" s="43">
        <f>D20+D25</f>
        <v>4121.465116234541</v>
      </c>
      <c r="D27" s="43"/>
      <c r="E27" s="43"/>
      <c r="F27" s="42"/>
    </row>
    <row r="28" spans="1:6" ht="15">
      <c r="A28" s="29"/>
      <c r="B28" s="30" t="s">
        <v>38</v>
      </c>
      <c r="C28" s="44">
        <f>E20+E25</f>
        <v>3.772991611038981</v>
      </c>
      <c r="D28" s="42"/>
      <c r="E28" s="42"/>
      <c r="F28" s="42"/>
    </row>
    <row r="29" spans="1:6" ht="15">
      <c r="A29" s="29"/>
      <c r="B29" s="30"/>
      <c r="C29" s="44"/>
      <c r="D29" s="42"/>
      <c r="E29" s="42"/>
      <c r="F29" s="42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38" t="s">
        <v>39</v>
      </c>
      <c r="B31" s="138"/>
      <c r="C31" s="138"/>
      <c r="D31" s="138"/>
      <c r="E31" s="138"/>
      <c r="F31" s="138"/>
    </row>
    <row r="32" spans="1:6" ht="15">
      <c r="A32" s="1"/>
      <c r="B32" s="1"/>
      <c r="C32" s="1"/>
      <c r="D32" s="2"/>
      <c r="E32" s="2"/>
      <c r="F32" s="2"/>
    </row>
    <row r="33" spans="1:6" ht="71.25">
      <c r="A33" s="8"/>
      <c r="B33" s="9" t="s">
        <v>4</v>
      </c>
      <c r="C33" s="9" t="s">
        <v>5</v>
      </c>
      <c r="D33" s="9" t="s">
        <v>6</v>
      </c>
      <c r="E33" s="9" t="s">
        <v>7</v>
      </c>
      <c r="F33" s="2"/>
    </row>
    <row r="34" spans="1:5" ht="15">
      <c r="A34" s="139" t="s">
        <v>40</v>
      </c>
      <c r="B34" s="139"/>
      <c r="C34" s="139"/>
      <c r="D34" s="12">
        <f>D35</f>
        <v>10.9236</v>
      </c>
      <c r="E34" s="12">
        <f>E35</f>
        <v>0.01</v>
      </c>
    </row>
    <row r="35" spans="1:5" ht="30">
      <c r="A35" s="15">
        <v>1</v>
      </c>
      <c r="B35" s="45" t="s">
        <v>41</v>
      </c>
      <c r="C35" s="45" t="s">
        <v>42</v>
      </c>
      <c r="D35" s="17">
        <f>E35*12*$D$2</f>
        <v>10.9236</v>
      </c>
      <c r="E35" s="46">
        <v>0.01</v>
      </c>
    </row>
    <row r="36" spans="1:5" ht="32.25" customHeight="1">
      <c r="A36" s="139" t="s">
        <v>43</v>
      </c>
      <c r="B36" s="139"/>
      <c r="C36" s="139"/>
      <c r="D36" s="12">
        <f>D37+D38</f>
        <v>87.3888</v>
      </c>
      <c r="E36" s="12">
        <f>E37+E38</f>
        <v>0.08</v>
      </c>
    </row>
    <row r="37" spans="1:5" ht="28.5" customHeight="1">
      <c r="A37" s="15">
        <v>2</v>
      </c>
      <c r="B37" s="45" t="s">
        <v>44</v>
      </c>
      <c r="C37" s="45" t="s">
        <v>45</v>
      </c>
      <c r="D37" s="17">
        <f>E37*$D$2*12</f>
        <v>21.8472</v>
      </c>
      <c r="E37" s="46">
        <v>0.02</v>
      </c>
    </row>
    <row r="38" spans="1:5" ht="15">
      <c r="A38" s="15">
        <v>3</v>
      </c>
      <c r="B38" s="47" t="s">
        <v>46</v>
      </c>
      <c r="C38" s="8" t="s">
        <v>213</v>
      </c>
      <c r="D38" s="17">
        <f>E38*$D$2*12</f>
        <v>65.5416</v>
      </c>
      <c r="E38" s="18">
        <v>0.06</v>
      </c>
    </row>
    <row r="39" spans="1:6" ht="15">
      <c r="A39" s="9"/>
      <c r="B39" s="27" t="s">
        <v>27</v>
      </c>
      <c r="C39" s="27"/>
      <c r="D39" s="48">
        <f>D34+D36</f>
        <v>98.3124</v>
      </c>
      <c r="E39" s="12">
        <f>E34+E36</f>
        <v>0.09</v>
      </c>
      <c r="F39" s="6"/>
    </row>
    <row r="40" spans="1:6" ht="15">
      <c r="A40" s="2"/>
      <c r="B40" s="2"/>
      <c r="C40" s="2"/>
      <c r="D40" s="2"/>
      <c r="E40" s="2"/>
      <c r="F40" s="2"/>
    </row>
    <row r="41" spans="2:3" ht="29.25">
      <c r="B41" s="30" t="s">
        <v>442</v>
      </c>
      <c r="C41" s="43">
        <v>4121.465116234541</v>
      </c>
    </row>
  </sheetData>
  <sheetProtection/>
  <mergeCells count="9">
    <mergeCell ref="A31:F31"/>
    <mergeCell ref="A34:C34"/>
    <mergeCell ref="A36:C36"/>
    <mergeCell ref="A4:E4"/>
    <mergeCell ref="A7:C7"/>
    <mergeCell ref="A9:C9"/>
    <mergeCell ref="A12:C12"/>
    <mergeCell ref="A15:C15"/>
    <mergeCell ref="A18:C18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28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199</v>
      </c>
    </row>
    <row r="2" spans="1:6" ht="39" customHeight="1">
      <c r="A2" s="2"/>
      <c r="B2" s="1" t="s">
        <v>200</v>
      </c>
      <c r="C2" s="4"/>
      <c r="D2" s="5">
        <v>98.29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444.0851046939669</v>
      </c>
      <c r="E7" s="12">
        <f>SUM(E8:E9)</f>
        <v>0.37650922838366646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406.29927236410515</v>
      </c>
      <c r="E8" s="83">
        <v>0.34447321901524836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37.78583232986178</v>
      </c>
      <c r="E9" s="83">
        <v>0.0320360093684181</v>
      </c>
      <c r="F9" s="21"/>
    </row>
    <row r="10" spans="1:6" ht="30" customHeight="1">
      <c r="A10" s="140" t="s">
        <v>64</v>
      </c>
      <c r="B10" s="143"/>
      <c r="C10" s="144"/>
      <c r="D10" s="23">
        <f>SUM(D11:D12)</f>
        <v>85.67563517824212</v>
      </c>
      <c r="E10" s="23">
        <f>SUM(E11:E12)</f>
        <v>0.07263848066795717</v>
      </c>
      <c r="F10" s="21"/>
    </row>
    <row r="11" spans="1:6" ht="33.75" customHeight="1">
      <c r="A11" s="15">
        <v>3</v>
      </c>
      <c r="B11" s="22" t="s">
        <v>17</v>
      </c>
      <c r="C11" s="22" t="s">
        <v>18</v>
      </c>
      <c r="D11" s="17">
        <f>E11*12*$D$2</f>
        <v>47.19022995124922</v>
      </c>
      <c r="E11" s="82">
        <v>0.040009351537329346</v>
      </c>
      <c r="F11" s="13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38.485405226992896</v>
      </c>
      <c r="E12" s="84">
        <v>0.032629129130627814</v>
      </c>
      <c r="F12" s="2"/>
    </row>
    <row r="13" spans="1:6" ht="15">
      <c r="A13" s="145" t="s">
        <v>67</v>
      </c>
      <c r="B13" s="146"/>
      <c r="C13" s="146"/>
      <c r="D13" s="24">
        <f>SUM(D14:D15)</f>
        <v>313.36728373907465</v>
      </c>
      <c r="E13" s="24">
        <f>SUM(E14:E15)</f>
        <v>0.26568257515097726</v>
      </c>
      <c r="F13" s="2"/>
    </row>
    <row r="14" spans="1:10" ht="60">
      <c r="A14" s="15">
        <v>5</v>
      </c>
      <c r="B14" s="22" t="s">
        <v>86</v>
      </c>
      <c r="C14" s="22" t="s">
        <v>18</v>
      </c>
      <c r="D14" s="17">
        <f>E14*12*$D$2</f>
        <v>13.17696315459757</v>
      </c>
      <c r="E14" s="63">
        <v>0.011171841111843836</v>
      </c>
      <c r="F14" s="2"/>
      <c r="H14" s="85"/>
      <c r="I14" s="64"/>
      <c r="J14" s="65"/>
    </row>
    <row r="15" spans="1:10" ht="60">
      <c r="A15" s="15">
        <v>6</v>
      </c>
      <c r="B15" s="22" t="s">
        <v>22</v>
      </c>
      <c r="C15" s="22" t="s">
        <v>87</v>
      </c>
      <c r="D15" s="17">
        <f>E15*12*$D$2</f>
        <v>300.1903205844771</v>
      </c>
      <c r="E15" s="63">
        <v>0.25451073403913343</v>
      </c>
      <c r="F15" s="2"/>
      <c r="H15" s="85"/>
      <c r="I15" s="64"/>
      <c r="J15" s="65"/>
    </row>
    <row r="16" spans="1:6" ht="15">
      <c r="A16" s="145" t="s">
        <v>70</v>
      </c>
      <c r="B16" s="145"/>
      <c r="C16" s="145"/>
      <c r="D16" s="25">
        <f>SUM(D17)</f>
        <v>172.48067244936084</v>
      </c>
      <c r="E16" s="23">
        <f>SUM(E17)</f>
        <v>0.1462345037214373</v>
      </c>
      <c r="F16" s="2"/>
    </row>
    <row r="17" spans="1:9" ht="15">
      <c r="A17" s="15">
        <v>7</v>
      </c>
      <c r="B17" s="22" t="s">
        <v>25</v>
      </c>
      <c r="C17" s="22" t="s">
        <v>26</v>
      </c>
      <c r="D17" s="17">
        <f>E17*12*$D$2</f>
        <v>172.48067244936084</v>
      </c>
      <c r="E17" s="63">
        <v>0.1462345037214373</v>
      </c>
      <c r="F17" s="2"/>
      <c r="H17" s="85"/>
      <c r="I17" s="80"/>
    </row>
    <row r="18" spans="1:6" ht="15">
      <c r="A18" s="9"/>
      <c r="B18" s="27" t="s">
        <v>27</v>
      </c>
      <c r="C18" s="27"/>
      <c r="D18" s="48">
        <f>D7+D10+D13+D16</f>
        <v>1015.6086960606444</v>
      </c>
      <c r="E18" s="12">
        <f>E7+E10+E13+E16</f>
        <v>0.8610647879240382</v>
      </c>
      <c r="F18" s="6"/>
    </row>
    <row r="19" spans="1:6" ht="15">
      <c r="A19" s="29"/>
      <c r="B19" s="30"/>
      <c r="C19" s="31"/>
      <c r="D19" s="32"/>
      <c r="E19" s="33"/>
      <c r="F19" s="2"/>
    </row>
    <row r="20" spans="1:6" ht="15">
      <c r="A20" s="30"/>
      <c r="B20" s="30"/>
      <c r="C20" s="30"/>
      <c r="D20" s="30"/>
      <c r="E20" s="30"/>
      <c r="F20" s="29"/>
    </row>
    <row r="21" spans="1:6" ht="105">
      <c r="A21" s="11" t="s">
        <v>28</v>
      </c>
      <c r="B21" s="11" t="s">
        <v>29</v>
      </c>
      <c r="C21" s="11" t="s">
        <v>30</v>
      </c>
      <c r="D21" s="11" t="s">
        <v>31</v>
      </c>
      <c r="E21" s="11" t="s">
        <v>32</v>
      </c>
      <c r="F21" s="11" t="s">
        <v>33</v>
      </c>
    </row>
    <row r="22" spans="1:6" ht="15">
      <c r="A22" s="11">
        <v>1</v>
      </c>
      <c r="B22" s="8" t="s">
        <v>123</v>
      </c>
      <c r="C22" s="11" t="s">
        <v>186</v>
      </c>
      <c r="D22" s="11">
        <v>2568.5</v>
      </c>
      <c r="E22" s="37">
        <f>D22/12/$D$2</f>
        <v>2.1776545596364496</v>
      </c>
      <c r="F22" s="38">
        <v>2</v>
      </c>
    </row>
    <row r="23" spans="1:6" ht="15">
      <c r="A23" s="11"/>
      <c r="B23" s="39" t="s">
        <v>36</v>
      </c>
      <c r="C23" s="10"/>
      <c r="D23" s="54">
        <f>SUM(D22:D22)</f>
        <v>2568.5</v>
      </c>
      <c r="E23" s="40">
        <f>SUM(E22:E22)</f>
        <v>2.1776545596364496</v>
      </c>
      <c r="F23" s="41"/>
    </row>
    <row r="24" spans="1:6" ht="15">
      <c r="A24" s="29"/>
      <c r="B24" s="30"/>
      <c r="C24" s="42"/>
      <c r="D24" s="42"/>
      <c r="E24" s="42"/>
      <c r="F24" s="42"/>
    </row>
    <row r="25" spans="1:6" ht="29.25">
      <c r="A25" s="29"/>
      <c r="B25" s="30" t="s">
        <v>37</v>
      </c>
      <c r="C25" s="43">
        <f>D18+D23</f>
        <v>3584.1086960606444</v>
      </c>
      <c r="D25" s="43"/>
      <c r="E25" s="43"/>
      <c r="F25" s="42"/>
    </row>
    <row r="26" spans="1:6" ht="15">
      <c r="A26" s="29"/>
      <c r="B26" s="30" t="s">
        <v>38</v>
      </c>
      <c r="C26" s="44">
        <f>E18+E23</f>
        <v>3.038719347560488</v>
      </c>
      <c r="D26" s="42"/>
      <c r="E26" s="42"/>
      <c r="F26" s="42"/>
    </row>
    <row r="27" spans="1:6" ht="15">
      <c r="A27" s="29"/>
      <c r="B27" s="30"/>
      <c r="C27" s="44"/>
      <c r="D27" s="42"/>
      <c r="E27" s="42"/>
      <c r="F27" s="42"/>
    </row>
    <row r="28" spans="1:6" ht="29.25" customHeight="1">
      <c r="A28" s="2"/>
      <c r="B28" s="2"/>
      <c r="C28" s="2"/>
      <c r="D28" s="2"/>
      <c r="E28" s="2"/>
      <c r="F28" s="2"/>
    </row>
    <row r="29" spans="1:6" ht="33" customHeight="1">
      <c r="A29" s="138" t="s">
        <v>39</v>
      </c>
      <c r="B29" s="138"/>
      <c r="C29" s="138"/>
      <c r="D29" s="138"/>
      <c r="E29" s="138"/>
      <c r="F29" s="13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4</v>
      </c>
      <c r="C31" s="9" t="s">
        <v>5</v>
      </c>
      <c r="D31" s="9" t="s">
        <v>6</v>
      </c>
      <c r="E31" s="9" t="s">
        <v>7</v>
      </c>
      <c r="F31" s="2"/>
    </row>
    <row r="32" spans="1:5" ht="32.25" customHeight="1">
      <c r="A32" s="139" t="s">
        <v>40</v>
      </c>
      <c r="B32" s="139"/>
      <c r="C32" s="139"/>
      <c r="D32" s="12">
        <f>D33</f>
        <v>11.7948</v>
      </c>
      <c r="E32" s="12">
        <f>E33</f>
        <v>0.01</v>
      </c>
    </row>
    <row r="33" spans="1:5" ht="30">
      <c r="A33" s="15">
        <v>1</v>
      </c>
      <c r="B33" s="45" t="s">
        <v>41</v>
      </c>
      <c r="C33" s="45" t="s">
        <v>42</v>
      </c>
      <c r="D33" s="17">
        <f>E33*12*$D$2</f>
        <v>11.7948</v>
      </c>
      <c r="E33" s="46">
        <v>0.01</v>
      </c>
    </row>
    <row r="34" spans="1:5" ht="32.25" customHeight="1">
      <c r="A34" s="139" t="s">
        <v>43</v>
      </c>
      <c r="B34" s="139"/>
      <c r="C34" s="139"/>
      <c r="D34" s="12">
        <f>D35</f>
        <v>70.7688</v>
      </c>
      <c r="E34" s="12">
        <f>E35</f>
        <v>0.06</v>
      </c>
    </row>
    <row r="35" spans="1:5" ht="15">
      <c r="A35" s="15">
        <v>2</v>
      </c>
      <c r="B35" s="47" t="s">
        <v>46</v>
      </c>
      <c r="C35" s="8" t="s">
        <v>42</v>
      </c>
      <c r="D35" s="17">
        <f>E35*$D$2*12</f>
        <v>70.7688</v>
      </c>
      <c r="E35" s="18">
        <v>0.06</v>
      </c>
    </row>
    <row r="36" spans="1:6" ht="15">
      <c r="A36" s="9"/>
      <c r="B36" s="27" t="s">
        <v>27</v>
      </c>
      <c r="C36" s="27"/>
      <c r="D36" s="48">
        <f>D32+D34</f>
        <v>82.5636</v>
      </c>
      <c r="E36" s="12">
        <f>E32+E34</f>
        <v>0.06999999999999999</v>
      </c>
      <c r="F36" s="6"/>
    </row>
    <row r="37" spans="1:6" ht="15">
      <c r="A37" s="2"/>
      <c r="B37" s="2"/>
      <c r="C37" s="2"/>
      <c r="D37" s="2"/>
      <c r="E37" s="2"/>
      <c r="F37" s="2"/>
    </row>
    <row r="38" spans="1:6" s="56" customFormat="1" ht="15">
      <c r="A38" s="30"/>
      <c r="B38" s="30"/>
      <c r="C38" s="30"/>
      <c r="D38" s="30"/>
      <c r="E38" s="30"/>
      <c r="F38" s="29"/>
    </row>
    <row r="39" spans="2:4" ht="43.5">
      <c r="B39" s="30" t="s">
        <v>201</v>
      </c>
      <c r="D39" s="81">
        <v>3584.1086960606444</v>
      </c>
    </row>
  </sheetData>
  <mergeCells count="8">
    <mergeCell ref="A16:C16"/>
    <mergeCell ref="A29:F29"/>
    <mergeCell ref="A32:C32"/>
    <mergeCell ref="A34:C34"/>
    <mergeCell ref="A4:E4"/>
    <mergeCell ref="A7:C7"/>
    <mergeCell ref="A10:C10"/>
    <mergeCell ref="A13:C1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22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345</v>
      </c>
    </row>
    <row r="2" spans="1:6" ht="39" customHeight="1">
      <c r="A2" s="2"/>
      <c r="B2" s="1" t="s">
        <v>346</v>
      </c>
      <c r="C2" s="4"/>
      <c r="D2" s="5">
        <v>117.5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76</v>
      </c>
      <c r="B7" s="143"/>
      <c r="C7" s="144"/>
      <c r="D7" s="23">
        <f>SUM(D8:D9)</f>
        <v>17.122025148159913</v>
      </c>
      <c r="E7" s="23">
        <f>SUM(E8:E9)</f>
        <v>0.012143280246921925</v>
      </c>
      <c r="F7" s="21"/>
      <c r="G7" s="108"/>
    </row>
    <row r="8" spans="1:7" ht="18.75" customHeight="1">
      <c r="A8" s="15">
        <v>1</v>
      </c>
      <c r="B8" s="22" t="s">
        <v>17</v>
      </c>
      <c r="C8" s="22" t="s">
        <v>18</v>
      </c>
      <c r="D8" s="17">
        <f>E8*12*$D$2</f>
        <v>8.976628992478672</v>
      </c>
      <c r="E8" s="17">
        <v>0.006366403540765016</v>
      </c>
      <c r="F8" s="13"/>
      <c r="G8" s="116"/>
    </row>
    <row r="9" spans="1:6" ht="60">
      <c r="A9" s="15">
        <v>2</v>
      </c>
      <c r="B9" s="22" t="s">
        <v>19</v>
      </c>
      <c r="C9" s="22" t="s">
        <v>18</v>
      </c>
      <c r="D9" s="17">
        <f>E9*12*$D$2</f>
        <v>8.145396155681242</v>
      </c>
      <c r="E9" s="17">
        <v>0.005776876706156909</v>
      </c>
      <c r="F9" s="2"/>
    </row>
    <row r="10" spans="1:6" ht="15">
      <c r="A10" s="145" t="s">
        <v>77</v>
      </c>
      <c r="B10" s="146"/>
      <c r="C10" s="146"/>
      <c r="D10" s="24">
        <f>SUM(D11:D12)</f>
        <v>214.99191560459943</v>
      </c>
      <c r="E10" s="24">
        <f>SUM(E11:E12)</f>
        <v>0.15247653588978682</v>
      </c>
      <c r="F10" s="2"/>
    </row>
    <row r="11" spans="1:6" ht="75">
      <c r="A11" s="15">
        <v>3</v>
      </c>
      <c r="B11" s="22" t="s">
        <v>98</v>
      </c>
      <c r="C11" s="22" t="s">
        <v>18</v>
      </c>
      <c r="D11" s="17">
        <f>E11*12*$D$2</f>
        <v>11.356217403787126</v>
      </c>
      <c r="E11" s="17">
        <v>0.008054054896302926</v>
      </c>
      <c r="F11" s="2"/>
    </row>
    <row r="12" spans="1:6" ht="90">
      <c r="A12" s="15">
        <v>4</v>
      </c>
      <c r="B12" s="22" t="s">
        <v>22</v>
      </c>
      <c r="C12" s="22" t="s">
        <v>79</v>
      </c>
      <c r="D12" s="17">
        <f>E12*12*$D$2</f>
        <v>203.6356982008123</v>
      </c>
      <c r="E12" s="20">
        <v>0.1444224809934839</v>
      </c>
      <c r="F12" s="2"/>
    </row>
    <row r="13" spans="1:6" ht="15">
      <c r="A13" s="145" t="s">
        <v>80</v>
      </c>
      <c r="B13" s="145"/>
      <c r="C13" s="145"/>
      <c r="D13" s="25">
        <f>SUM(D14)</f>
        <v>163.81610100000051</v>
      </c>
      <c r="E13" s="25">
        <f>SUM(E14)</f>
        <v>0.11618163191489399</v>
      </c>
      <c r="F13" s="2"/>
    </row>
    <row r="14" spans="1:7" ht="15">
      <c r="A14" s="15">
        <v>5</v>
      </c>
      <c r="B14" s="22" t="s">
        <v>25</v>
      </c>
      <c r="C14" s="22" t="s">
        <v>26</v>
      </c>
      <c r="D14" s="17">
        <f>E14*12*$D$2</f>
        <v>163.81610100000051</v>
      </c>
      <c r="E14" s="26">
        <v>0.11618163191489399</v>
      </c>
      <c r="F14" s="2"/>
      <c r="G14" s="2"/>
    </row>
    <row r="15" spans="1:6" ht="15">
      <c r="A15" s="9"/>
      <c r="B15" s="27" t="s">
        <v>27</v>
      </c>
      <c r="C15" s="27"/>
      <c r="D15" s="48">
        <f>D7+D10+D13</f>
        <v>395.93004175275985</v>
      </c>
      <c r="E15" s="12">
        <f>E7+E10+E13</f>
        <v>0.28080144805160273</v>
      </c>
      <c r="F15" s="6"/>
    </row>
    <row r="16" spans="1:6" ht="15">
      <c r="A16" s="29"/>
      <c r="B16" s="30"/>
      <c r="C16" s="31"/>
      <c r="D16" s="128"/>
      <c r="E16" s="64"/>
      <c r="F16" s="2"/>
    </row>
    <row r="17" spans="1:6" ht="15">
      <c r="A17" s="34"/>
      <c r="B17" s="34"/>
      <c r="C17" s="34"/>
      <c r="D17" s="34"/>
      <c r="E17" s="34"/>
      <c r="F17" s="35"/>
    </row>
    <row r="18" spans="1:6" ht="105">
      <c r="A18" s="11" t="s">
        <v>28</v>
      </c>
      <c r="B18" s="11" t="s">
        <v>29</v>
      </c>
      <c r="C18" s="11" t="s">
        <v>30</v>
      </c>
      <c r="D18" s="11" t="s">
        <v>31</v>
      </c>
      <c r="E18" s="11" t="s">
        <v>32</v>
      </c>
      <c r="F18" s="11" t="s">
        <v>33</v>
      </c>
    </row>
    <row r="19" spans="1:6" ht="15">
      <c r="A19" s="11">
        <v>1</v>
      </c>
      <c r="B19" s="8" t="s">
        <v>347</v>
      </c>
      <c r="C19" s="11" t="s">
        <v>348</v>
      </c>
      <c r="D19" s="11">
        <v>3069</v>
      </c>
      <c r="E19" s="37">
        <f>D19/12/$D$2</f>
        <v>2.176595744680851</v>
      </c>
      <c r="F19" s="38">
        <v>2</v>
      </c>
    </row>
    <row r="20" spans="1:6" ht="15">
      <c r="A20" s="11"/>
      <c r="B20" s="39" t="s">
        <v>36</v>
      </c>
      <c r="C20" s="10"/>
      <c r="D20" s="54">
        <f>SUM(D19:D19)</f>
        <v>3069</v>
      </c>
      <c r="E20" s="40">
        <f>SUM(E19:E19)</f>
        <v>2.176595744680851</v>
      </c>
      <c r="F20" s="41"/>
    </row>
    <row r="21" spans="1:6" ht="15">
      <c r="A21" s="29"/>
      <c r="B21" s="30"/>
      <c r="C21" s="42"/>
      <c r="D21" s="42"/>
      <c r="E21" s="42"/>
      <c r="F21" s="42"/>
    </row>
    <row r="22" spans="1:6" ht="29.25">
      <c r="A22" s="29"/>
      <c r="B22" s="30" t="s">
        <v>37</v>
      </c>
      <c r="C22" s="43">
        <f>D15+D20</f>
        <v>3464.9300417527597</v>
      </c>
      <c r="D22" s="43"/>
      <c r="E22" s="43"/>
      <c r="F22" s="42"/>
    </row>
    <row r="23" spans="1:6" ht="15">
      <c r="A23" s="29"/>
      <c r="B23" s="30" t="s">
        <v>38</v>
      </c>
      <c r="C23" s="44">
        <f>E15+E20</f>
        <v>2.457397192732454</v>
      </c>
      <c r="D23" s="42"/>
      <c r="E23" s="42"/>
      <c r="F23" s="42"/>
    </row>
    <row r="24" spans="1:6" ht="15">
      <c r="A24" s="29"/>
      <c r="B24" s="30"/>
      <c r="C24" s="44"/>
      <c r="D24" s="42"/>
      <c r="E24" s="42"/>
      <c r="F24" s="42"/>
    </row>
    <row r="25" spans="1:6" ht="58.5" customHeight="1">
      <c r="A25" s="2"/>
      <c r="B25" s="2"/>
      <c r="C25" s="2"/>
      <c r="D25" s="2"/>
      <c r="E25" s="2"/>
      <c r="F25" s="2"/>
    </row>
    <row r="26" spans="1:6" ht="33" customHeight="1">
      <c r="A26" s="138" t="s">
        <v>39</v>
      </c>
      <c r="B26" s="138"/>
      <c r="C26" s="138"/>
      <c r="D26" s="138"/>
      <c r="E26" s="138"/>
      <c r="F26" s="138"/>
    </row>
    <row r="27" spans="1:6" ht="15">
      <c r="A27" s="1"/>
      <c r="B27" s="1"/>
      <c r="C27" s="1"/>
      <c r="D27" s="2"/>
      <c r="E27" s="2"/>
      <c r="F27" s="2"/>
    </row>
    <row r="28" spans="1:6" ht="71.25">
      <c r="A28" s="8"/>
      <c r="B28" s="9" t="s">
        <v>4</v>
      </c>
      <c r="C28" s="9" t="s">
        <v>5</v>
      </c>
      <c r="D28" s="9" t="s">
        <v>6</v>
      </c>
      <c r="E28" s="9" t="s">
        <v>7</v>
      </c>
      <c r="F28" s="2"/>
    </row>
    <row r="29" spans="1:5" ht="15">
      <c r="A29" s="139" t="s">
        <v>40</v>
      </c>
      <c r="B29" s="139"/>
      <c r="C29" s="139"/>
      <c r="D29" s="12">
        <f>D30</f>
        <v>14.1</v>
      </c>
      <c r="E29" s="12">
        <f>E30</f>
        <v>0.01</v>
      </c>
    </row>
    <row r="30" spans="1:5" ht="30">
      <c r="A30" s="15" t="s">
        <v>304</v>
      </c>
      <c r="B30" s="45" t="s">
        <v>41</v>
      </c>
      <c r="C30" s="45" t="s">
        <v>213</v>
      </c>
      <c r="D30" s="17">
        <f>E30*12*$D$2</f>
        <v>14.1</v>
      </c>
      <c r="E30" s="46">
        <v>0.01</v>
      </c>
    </row>
    <row r="31" spans="1:5" ht="32.25" customHeight="1">
      <c r="A31" s="139" t="s">
        <v>43</v>
      </c>
      <c r="B31" s="139"/>
      <c r="C31" s="139"/>
      <c r="D31" s="12">
        <f>D32+D33</f>
        <v>112.8</v>
      </c>
      <c r="E31" s="12">
        <f>E32+E33</f>
        <v>0.08</v>
      </c>
    </row>
    <row r="32" spans="1:5" ht="28.5" customHeight="1">
      <c r="A32" s="15" t="s">
        <v>305</v>
      </c>
      <c r="B32" s="45" t="s">
        <v>44</v>
      </c>
      <c r="C32" s="45" t="s">
        <v>45</v>
      </c>
      <c r="D32" s="17">
        <f>E32*$D$2*12</f>
        <v>28.200000000000003</v>
      </c>
      <c r="E32" s="46">
        <v>0.02</v>
      </c>
    </row>
    <row r="33" spans="1:5" ht="15">
      <c r="A33" s="15" t="s">
        <v>292</v>
      </c>
      <c r="B33" s="47" t="s">
        <v>46</v>
      </c>
      <c r="C33" s="8" t="s">
        <v>213</v>
      </c>
      <c r="D33" s="17">
        <f>E33*$D$2*12</f>
        <v>84.6</v>
      </c>
      <c r="E33" s="18">
        <v>0.06</v>
      </c>
    </row>
    <row r="34" spans="1:6" ht="15">
      <c r="A34" s="9"/>
      <c r="B34" s="27" t="s">
        <v>27</v>
      </c>
      <c r="C34" s="27"/>
      <c r="D34" s="48">
        <f>D29+D31</f>
        <v>126.89999999999999</v>
      </c>
      <c r="E34" s="12">
        <f>E29+E31</f>
        <v>0.09</v>
      </c>
      <c r="F34" s="6"/>
    </row>
    <row r="35" spans="1:6" ht="15">
      <c r="A35" s="2"/>
      <c r="B35" s="2"/>
      <c r="C35" s="2"/>
      <c r="D35" s="2"/>
      <c r="E35" s="2"/>
      <c r="F35" s="2"/>
    </row>
    <row r="37" spans="2:3" ht="29.25">
      <c r="B37" s="30" t="s">
        <v>349</v>
      </c>
      <c r="C37" s="43">
        <v>3464.9300417527597</v>
      </c>
    </row>
  </sheetData>
  <sheetProtection/>
  <mergeCells count="7">
    <mergeCell ref="A4:E4"/>
    <mergeCell ref="A26:F26"/>
    <mergeCell ref="A29:C29"/>
    <mergeCell ref="A31:C31"/>
    <mergeCell ref="A7:C7"/>
    <mergeCell ref="A10:C10"/>
    <mergeCell ref="A13:C13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22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350</v>
      </c>
    </row>
    <row r="2" spans="1:6" ht="39" customHeight="1">
      <c r="A2" s="2"/>
      <c r="B2" s="1" t="s">
        <v>351</v>
      </c>
      <c r="C2" s="4"/>
      <c r="D2" s="5">
        <v>213.37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352</v>
      </c>
      <c r="B7" s="141"/>
      <c r="C7" s="142"/>
      <c r="D7" s="12">
        <f>SUM(D8:D9)</f>
        <v>151.4918691494803</v>
      </c>
      <c r="E7" s="12">
        <f>SUM(E8:E9)</f>
        <v>0.05916634217145503</v>
      </c>
      <c r="F7" s="19"/>
      <c r="G7" s="14"/>
    </row>
    <row r="8" spans="1:7" ht="15.75" customHeight="1">
      <c r="A8" s="15" t="s">
        <v>62</v>
      </c>
      <c r="B8" s="8" t="s">
        <v>12</v>
      </c>
      <c r="C8" s="16" t="s">
        <v>13</v>
      </c>
      <c r="D8" s="17">
        <f>E8*$D$2*12</f>
        <v>135.43309078803512</v>
      </c>
      <c r="E8" s="20">
        <v>0.05289445985378885</v>
      </c>
      <c r="F8" s="21"/>
      <c r="G8" s="14"/>
    </row>
    <row r="9" spans="1:7" ht="30">
      <c r="A9" s="15" t="s">
        <v>63</v>
      </c>
      <c r="B9" s="22" t="s">
        <v>14</v>
      </c>
      <c r="C9" s="22" t="s">
        <v>15</v>
      </c>
      <c r="D9" s="17">
        <f>E9*$D$2*12</f>
        <v>16.05877836144518</v>
      </c>
      <c r="E9" s="17">
        <v>0.006271882317666175</v>
      </c>
      <c r="F9" s="21"/>
      <c r="G9" s="14"/>
    </row>
    <row r="10" spans="1:7" ht="15">
      <c r="A10" s="140" t="s">
        <v>295</v>
      </c>
      <c r="B10" s="143"/>
      <c r="C10" s="144"/>
      <c r="D10" s="23">
        <f>SUM(D11:D12)</f>
        <v>49.69916102294134</v>
      </c>
      <c r="E10" s="23">
        <f>SUM(E11:E12)</f>
        <v>0.019410398612324964</v>
      </c>
      <c r="F10" s="21"/>
      <c r="G10" s="14"/>
    </row>
    <row r="11" spans="1:7" ht="18.75" customHeight="1">
      <c r="A11" s="15" t="s">
        <v>65</v>
      </c>
      <c r="B11" s="22" t="s">
        <v>17</v>
      </c>
      <c r="C11" s="22" t="s">
        <v>18</v>
      </c>
      <c r="D11" s="17">
        <f>E11*12*$D$2</f>
        <v>22.074559866482613</v>
      </c>
      <c r="E11" s="17">
        <v>0.00862139314589782</v>
      </c>
      <c r="F11" s="13"/>
      <c r="G11" s="14"/>
    </row>
    <row r="12" spans="1:7" ht="60">
      <c r="A12" s="15" t="s">
        <v>66</v>
      </c>
      <c r="B12" s="22" t="s">
        <v>311</v>
      </c>
      <c r="C12" s="22" t="s">
        <v>18</v>
      </c>
      <c r="D12" s="17">
        <f>E12*12*$D$2</f>
        <v>27.624601156458723</v>
      </c>
      <c r="E12" s="17">
        <v>0.010789005466427146</v>
      </c>
      <c r="F12" s="2"/>
      <c r="G12" s="14"/>
    </row>
    <row r="13" spans="1:7" ht="15">
      <c r="A13" s="145" t="s">
        <v>297</v>
      </c>
      <c r="B13" s="146"/>
      <c r="C13" s="146"/>
      <c r="D13" s="24">
        <f>SUM(D14:D15)</f>
        <v>1225.8835303336618</v>
      </c>
      <c r="E13" s="24">
        <f>SUM(E14:E15)</f>
        <v>0.47877846398808876</v>
      </c>
      <c r="F13" s="2"/>
      <c r="G13" s="14"/>
    </row>
    <row r="14" spans="1:7" ht="75">
      <c r="A14" s="15" t="s">
        <v>68</v>
      </c>
      <c r="B14" s="22" t="s">
        <v>98</v>
      </c>
      <c r="C14" s="22" t="s">
        <v>18</v>
      </c>
      <c r="D14" s="17">
        <f>E14*12*$D$2</f>
        <v>20.885293071218772</v>
      </c>
      <c r="E14" s="17">
        <v>0.008156915636069883</v>
      </c>
      <c r="F14" s="2"/>
      <c r="G14" s="14"/>
    </row>
    <row r="15" spans="1:7" ht="90">
      <c r="A15" s="15" t="s">
        <v>69</v>
      </c>
      <c r="B15" s="22" t="s">
        <v>22</v>
      </c>
      <c r="C15" s="22" t="s">
        <v>79</v>
      </c>
      <c r="D15" s="17">
        <f>E15*12*$D$2</f>
        <v>1204.9982372624431</v>
      </c>
      <c r="E15" s="20">
        <v>0.47062154835201886</v>
      </c>
      <c r="F15" s="2"/>
      <c r="G15" s="14"/>
    </row>
    <row r="16" spans="1:7" ht="15">
      <c r="A16" s="145" t="s">
        <v>298</v>
      </c>
      <c r="B16" s="145"/>
      <c r="C16" s="145"/>
      <c r="D16" s="25">
        <f>SUM(D17)</f>
        <v>407.9314296000007</v>
      </c>
      <c r="E16" s="25">
        <f>SUM(E17)</f>
        <v>0.15932083141960002</v>
      </c>
      <c r="F16" s="2"/>
      <c r="G16" s="14"/>
    </row>
    <row r="17" spans="1:7" ht="15">
      <c r="A17" s="15" t="s">
        <v>71</v>
      </c>
      <c r="B17" s="22" t="s">
        <v>25</v>
      </c>
      <c r="C17" s="22" t="s">
        <v>26</v>
      </c>
      <c r="D17" s="17">
        <f>E17*12*$D$2</f>
        <v>407.9314296000007</v>
      </c>
      <c r="E17" s="26">
        <f>0.1569808314196+0.00234</f>
        <v>0.15932083141960002</v>
      </c>
      <c r="F17" s="2"/>
      <c r="G17" s="14"/>
    </row>
    <row r="18" spans="1:7" ht="15">
      <c r="A18" s="9"/>
      <c r="B18" s="27" t="s">
        <v>27</v>
      </c>
      <c r="C18" s="27"/>
      <c r="D18" s="48">
        <f>D7+D10+D13+D16</f>
        <v>1835.005990106084</v>
      </c>
      <c r="E18" s="12">
        <f>E7+E10+E13+E16</f>
        <v>0.7166760361914688</v>
      </c>
      <c r="F18" s="6"/>
      <c r="G18" s="14"/>
    </row>
    <row r="19" spans="1:6" ht="15">
      <c r="A19" s="29"/>
      <c r="B19" s="30"/>
      <c r="C19" s="31"/>
      <c r="D19" s="32"/>
      <c r="E19" s="33"/>
      <c r="F19" s="2"/>
    </row>
    <row r="20" spans="1:6" ht="15">
      <c r="A20" s="34"/>
      <c r="B20" s="34"/>
      <c r="C20" s="34"/>
      <c r="D20" s="34"/>
      <c r="E20" s="34"/>
      <c r="F20" s="35"/>
    </row>
    <row r="21" spans="1:6" ht="105">
      <c r="A21" s="11" t="s">
        <v>28</v>
      </c>
      <c r="B21" s="11" t="s">
        <v>29</v>
      </c>
      <c r="C21" s="11" t="s">
        <v>30</v>
      </c>
      <c r="D21" s="11" t="s">
        <v>31</v>
      </c>
      <c r="E21" s="11" t="s">
        <v>32</v>
      </c>
      <c r="F21" s="11" t="s">
        <v>33</v>
      </c>
    </row>
    <row r="22" spans="1:6" ht="15">
      <c r="A22" s="11">
        <v>1</v>
      </c>
      <c r="B22" s="8" t="s">
        <v>320</v>
      </c>
      <c r="C22" s="11" t="s">
        <v>353</v>
      </c>
      <c r="D22" s="11">
        <v>5572</v>
      </c>
      <c r="E22" s="37">
        <f>D22/12/$D$2</f>
        <v>2.1761884676071297</v>
      </c>
      <c r="F22" s="38">
        <v>2</v>
      </c>
    </row>
    <row r="23" spans="1:6" ht="15">
      <c r="A23" s="11"/>
      <c r="B23" s="39" t="s">
        <v>36</v>
      </c>
      <c r="C23" s="10"/>
      <c r="D23" s="54">
        <f>SUM(D22:D22)</f>
        <v>5572</v>
      </c>
      <c r="E23" s="40">
        <f>SUM(E22:E22)</f>
        <v>2.1761884676071297</v>
      </c>
      <c r="F23" s="41"/>
    </row>
    <row r="24" spans="1:6" ht="15">
      <c r="A24" s="29"/>
      <c r="B24" s="30"/>
      <c r="C24" s="42"/>
      <c r="D24" s="42"/>
      <c r="E24" s="42"/>
      <c r="F24" s="42"/>
    </row>
    <row r="25" spans="1:6" ht="29.25">
      <c r="A25" s="29"/>
      <c r="B25" s="30" t="s">
        <v>37</v>
      </c>
      <c r="C25" s="43">
        <f>D18+D23</f>
        <v>7407.005990106084</v>
      </c>
      <c r="D25" s="43"/>
      <c r="E25" s="43"/>
      <c r="F25" s="42"/>
    </row>
    <row r="26" spans="1:6" ht="15">
      <c r="A26" s="29"/>
      <c r="B26" s="30" t="s">
        <v>38</v>
      </c>
      <c r="C26" s="44">
        <f>E18+E23</f>
        <v>2.8928645037985987</v>
      </c>
      <c r="D26" s="42"/>
      <c r="E26" s="42"/>
      <c r="F26" s="42"/>
    </row>
    <row r="27" spans="1:6" ht="15">
      <c r="A27" s="29"/>
      <c r="B27" s="30"/>
      <c r="C27" s="44"/>
      <c r="D27" s="42"/>
      <c r="E27" s="42"/>
      <c r="F27" s="42"/>
    </row>
    <row r="28" spans="1:6" ht="15">
      <c r="A28" s="2"/>
      <c r="B28" s="2"/>
      <c r="C28" s="2"/>
      <c r="D28" s="2"/>
      <c r="E28" s="2"/>
      <c r="F28" s="2"/>
    </row>
    <row r="29" spans="1:6" ht="33" customHeight="1">
      <c r="A29" s="138" t="s">
        <v>39</v>
      </c>
      <c r="B29" s="138"/>
      <c r="C29" s="138"/>
      <c r="D29" s="138"/>
      <c r="E29" s="138"/>
      <c r="F29" s="13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4</v>
      </c>
      <c r="C31" s="9" t="s">
        <v>5</v>
      </c>
      <c r="D31" s="9" t="s">
        <v>6</v>
      </c>
      <c r="E31" s="9" t="s">
        <v>7</v>
      </c>
      <c r="F31" s="2"/>
    </row>
    <row r="32" spans="1:5" ht="15">
      <c r="A32" s="139" t="s">
        <v>40</v>
      </c>
      <c r="B32" s="139"/>
      <c r="C32" s="139"/>
      <c r="D32" s="12">
        <f>+D33</f>
        <v>25.6044</v>
      </c>
      <c r="E32" s="12">
        <f>+E33</f>
        <v>0.01</v>
      </c>
    </row>
    <row r="33" spans="1:5" ht="30">
      <c r="A33" s="15" t="s">
        <v>62</v>
      </c>
      <c r="B33" s="45" t="s">
        <v>41</v>
      </c>
      <c r="C33" s="45" t="s">
        <v>165</v>
      </c>
      <c r="D33" s="17">
        <f>E33*12*$D$2</f>
        <v>25.6044</v>
      </c>
      <c r="E33" s="46">
        <v>0.01</v>
      </c>
    </row>
    <row r="34" spans="1:5" ht="32.25" customHeight="1">
      <c r="A34" s="139" t="s">
        <v>43</v>
      </c>
      <c r="B34" s="139"/>
      <c r="C34" s="139"/>
      <c r="D34" s="12">
        <f>D35+D36</f>
        <v>204.8352</v>
      </c>
      <c r="E34" s="12">
        <f>E35+E36</f>
        <v>0.08</v>
      </c>
    </row>
    <row r="35" spans="1:5" ht="43.5" customHeight="1">
      <c r="A35" s="15" t="s">
        <v>63</v>
      </c>
      <c r="B35" s="45" t="s">
        <v>44</v>
      </c>
      <c r="C35" s="45" t="s">
        <v>45</v>
      </c>
      <c r="D35" s="17">
        <f>E35*$D$2*12</f>
        <v>51.208800000000004</v>
      </c>
      <c r="E35" s="46">
        <v>0.02</v>
      </c>
    </row>
    <row r="36" spans="1:5" ht="30">
      <c r="A36" s="15" t="s">
        <v>65</v>
      </c>
      <c r="B36" s="47" t="s">
        <v>46</v>
      </c>
      <c r="C36" s="8" t="s">
        <v>165</v>
      </c>
      <c r="D36" s="17">
        <f>E36*$D$2*12</f>
        <v>153.6264</v>
      </c>
      <c r="E36" s="18">
        <v>0.06</v>
      </c>
    </row>
    <row r="37" spans="1:6" ht="15">
      <c r="A37" s="9"/>
      <c r="B37" s="27" t="s">
        <v>27</v>
      </c>
      <c r="C37" s="27"/>
      <c r="D37" s="48">
        <f>D32+D34</f>
        <v>230.43959999999998</v>
      </c>
      <c r="E37" s="12">
        <f>E32+E34</f>
        <v>0.09</v>
      </c>
      <c r="F37" s="6"/>
    </row>
    <row r="38" spans="1:6" ht="15">
      <c r="A38" s="2"/>
      <c r="B38" s="2"/>
      <c r="C38" s="2"/>
      <c r="D38" s="2"/>
      <c r="E38" s="2"/>
      <c r="F38" s="2"/>
    </row>
    <row r="39" spans="1:6" ht="15">
      <c r="A39" s="34"/>
      <c r="B39" s="34"/>
      <c r="C39" s="34"/>
      <c r="D39" s="34"/>
      <c r="E39" s="34"/>
      <c r="F39" s="35"/>
    </row>
    <row r="40" spans="1:6" ht="105">
      <c r="A40" s="11" t="s">
        <v>28</v>
      </c>
      <c r="B40" s="11" t="s">
        <v>29</v>
      </c>
      <c r="C40" s="11" t="s">
        <v>30</v>
      </c>
      <c r="D40" s="11" t="s">
        <v>31</v>
      </c>
      <c r="E40" s="11" t="s">
        <v>47</v>
      </c>
      <c r="F40" s="11" t="s">
        <v>33</v>
      </c>
    </row>
    <row r="41" spans="1:6" ht="15">
      <c r="A41" s="11" t="s">
        <v>62</v>
      </c>
      <c r="B41" s="124" t="s">
        <v>302</v>
      </c>
      <c r="C41" s="11" t="s">
        <v>307</v>
      </c>
      <c r="D41" s="36">
        <v>1006</v>
      </c>
      <c r="E41" s="50">
        <f>D41/12/$D$2</f>
        <v>0.3929012201027948</v>
      </c>
      <c r="F41" s="11">
        <v>2</v>
      </c>
    </row>
    <row r="42" spans="1:6" ht="15">
      <c r="A42" s="51"/>
      <c r="B42" s="51" t="s">
        <v>36</v>
      </c>
      <c r="C42" s="51"/>
      <c r="D42" s="52">
        <f>SUM(D41:D41)</f>
        <v>1006</v>
      </c>
      <c r="E42" s="53">
        <f>SUM(E41:E41)</f>
        <v>0.3929012201027948</v>
      </c>
      <c r="F42" s="51"/>
    </row>
    <row r="45" spans="2:3" ht="29.25">
      <c r="B45" s="30" t="s">
        <v>354</v>
      </c>
      <c r="C45" s="55">
        <f>C25</f>
        <v>7407.005990106084</v>
      </c>
    </row>
  </sheetData>
  <sheetProtection/>
  <mergeCells count="8">
    <mergeCell ref="A4:E4"/>
    <mergeCell ref="A29:F29"/>
    <mergeCell ref="A32:C32"/>
    <mergeCell ref="A34:C34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9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355</v>
      </c>
    </row>
    <row r="2" spans="1:6" ht="39" customHeight="1">
      <c r="A2" s="2"/>
      <c r="B2" s="1" t="s">
        <v>356</v>
      </c>
      <c r="C2" s="4"/>
      <c r="D2" s="5">
        <v>267.5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76</v>
      </c>
      <c r="B7" s="143"/>
      <c r="C7" s="144"/>
      <c r="D7" s="23">
        <f>SUM(D8:D9)</f>
        <v>75.72650171872789</v>
      </c>
      <c r="E7" s="23">
        <f>SUM(E8:E9)</f>
        <v>0.0235908105042766</v>
      </c>
      <c r="F7" s="21"/>
      <c r="G7" s="14"/>
    </row>
    <row r="8" spans="1:7" ht="18.75" customHeight="1">
      <c r="A8" s="15" t="s">
        <v>62</v>
      </c>
      <c r="B8" s="22" t="s">
        <v>17</v>
      </c>
      <c r="C8" s="22" t="s">
        <v>18</v>
      </c>
      <c r="D8" s="17">
        <f>E8*12*$D$2</f>
        <v>31.495475329239422</v>
      </c>
      <c r="E8" s="17">
        <v>0.009811674557395459</v>
      </c>
      <c r="F8" s="13"/>
      <c r="G8" s="14"/>
    </row>
    <row r="9" spans="1:7" ht="60">
      <c r="A9" s="15" t="s">
        <v>63</v>
      </c>
      <c r="B9" s="22" t="s">
        <v>311</v>
      </c>
      <c r="C9" s="22" t="s">
        <v>18</v>
      </c>
      <c r="D9" s="17">
        <f>E9*12*$D$2</f>
        <v>44.23102638948846</v>
      </c>
      <c r="E9" s="17">
        <v>0.01377913594688114</v>
      </c>
      <c r="F9" s="2"/>
      <c r="G9" s="14"/>
    </row>
    <row r="10" spans="1:7" ht="15">
      <c r="A10" s="145" t="s">
        <v>77</v>
      </c>
      <c r="B10" s="146"/>
      <c r="C10" s="146"/>
      <c r="D10" s="24">
        <f>SUM(D11:D12)</f>
        <v>2012.6727486204386</v>
      </c>
      <c r="E10" s="24">
        <f>SUM(E11:E12)</f>
        <v>0.6270008562680494</v>
      </c>
      <c r="F10" s="2"/>
      <c r="G10" s="14"/>
    </row>
    <row r="11" spans="1:7" ht="75">
      <c r="A11" s="15" t="s">
        <v>65</v>
      </c>
      <c r="B11" s="22" t="s">
        <v>98</v>
      </c>
      <c r="C11" s="22" t="s">
        <v>18</v>
      </c>
      <c r="D11" s="17">
        <f>E11*12*$D$2</f>
        <v>111.06731618901757</v>
      </c>
      <c r="E11" s="17">
        <v>0.034600410027731336</v>
      </c>
      <c r="F11" s="2"/>
      <c r="G11" s="14"/>
    </row>
    <row r="12" spans="1:7" ht="90">
      <c r="A12" s="15" t="s">
        <v>66</v>
      </c>
      <c r="B12" s="22" t="s">
        <v>22</v>
      </c>
      <c r="C12" s="22" t="s">
        <v>79</v>
      </c>
      <c r="D12" s="17">
        <f>E12*12*$D$2</f>
        <v>1901.605432431421</v>
      </c>
      <c r="E12" s="20">
        <v>0.5924004462403181</v>
      </c>
      <c r="F12" s="2"/>
      <c r="G12" s="14"/>
    </row>
    <row r="13" spans="1:7" ht="15">
      <c r="A13" s="145" t="s">
        <v>80</v>
      </c>
      <c r="B13" s="145"/>
      <c r="C13" s="145"/>
      <c r="D13" s="25">
        <f>SUM(D14)</f>
        <v>517.7103846367005</v>
      </c>
      <c r="E13" s="25">
        <f>SUM(E14)</f>
        <v>0.161280493656293</v>
      </c>
      <c r="F13" s="2"/>
      <c r="G13" s="14"/>
    </row>
    <row r="14" spans="1:7" ht="15">
      <c r="A14" s="15" t="s">
        <v>68</v>
      </c>
      <c r="B14" s="22" t="s">
        <v>25</v>
      </c>
      <c r="C14" s="22" t="s">
        <v>26</v>
      </c>
      <c r="D14" s="17">
        <f>E14*12*$D$2</f>
        <v>517.7103846367005</v>
      </c>
      <c r="E14" s="26">
        <f>0.157450493656293+0.00383</f>
        <v>0.161280493656293</v>
      </c>
      <c r="F14" s="2"/>
      <c r="G14" s="14"/>
    </row>
    <row r="15" spans="1:7" ht="15">
      <c r="A15" s="9"/>
      <c r="B15" s="27" t="s">
        <v>27</v>
      </c>
      <c r="C15" s="27"/>
      <c r="D15" s="48">
        <f>+D7+D10+D13</f>
        <v>2606.109634975867</v>
      </c>
      <c r="E15" s="12">
        <f>+E7+E10+E13</f>
        <v>0.811872160428619</v>
      </c>
      <c r="F15" s="6"/>
      <c r="G15" s="14"/>
    </row>
    <row r="16" spans="1:6" ht="15">
      <c r="A16" s="29"/>
      <c r="B16" s="30"/>
      <c r="C16" s="31"/>
      <c r="D16" s="32"/>
      <c r="E16" s="33"/>
      <c r="F16" s="2"/>
    </row>
    <row r="17" spans="1:6" ht="15">
      <c r="A17" s="34"/>
      <c r="B17" s="34"/>
      <c r="C17" s="34"/>
      <c r="D17" s="34"/>
      <c r="E17" s="34"/>
      <c r="F17" s="35"/>
    </row>
    <row r="18" spans="1:6" ht="105">
      <c r="A18" s="11" t="s">
        <v>28</v>
      </c>
      <c r="B18" s="11" t="s">
        <v>29</v>
      </c>
      <c r="C18" s="11" t="s">
        <v>30</v>
      </c>
      <c r="D18" s="11" t="s">
        <v>31</v>
      </c>
      <c r="E18" s="11" t="s">
        <v>32</v>
      </c>
      <c r="F18" s="11" t="s">
        <v>33</v>
      </c>
    </row>
    <row r="19" spans="1:6" ht="15">
      <c r="A19" s="11">
        <v>1</v>
      </c>
      <c r="B19" s="8" t="s">
        <v>320</v>
      </c>
      <c r="C19" s="11" t="s">
        <v>353</v>
      </c>
      <c r="D19" s="11">
        <v>6998</v>
      </c>
      <c r="E19" s="37">
        <f>D19/12/$D$2</f>
        <v>2.18006230529595</v>
      </c>
      <c r="F19" s="38">
        <v>2</v>
      </c>
    </row>
    <row r="20" spans="1:6" ht="15">
      <c r="A20" s="11"/>
      <c r="B20" s="39" t="s">
        <v>36</v>
      </c>
      <c r="C20" s="10"/>
      <c r="D20" s="54">
        <f>SUM(D19:D19)</f>
        <v>6998</v>
      </c>
      <c r="E20" s="40">
        <f>SUM(E19:E19)</f>
        <v>2.18006230529595</v>
      </c>
      <c r="F20" s="41"/>
    </row>
    <row r="21" spans="1:6" ht="15">
      <c r="A21" s="29"/>
      <c r="B21" s="30"/>
      <c r="C21" s="42"/>
      <c r="D21" s="42"/>
      <c r="E21" s="42"/>
      <c r="F21" s="42"/>
    </row>
    <row r="22" spans="1:6" ht="29.25">
      <c r="A22" s="29"/>
      <c r="B22" s="30" t="s">
        <v>37</v>
      </c>
      <c r="C22" s="43">
        <f>D15+D20</f>
        <v>9604.109634975866</v>
      </c>
      <c r="D22" s="43"/>
      <c r="E22" s="43"/>
      <c r="F22" s="42"/>
    </row>
    <row r="23" spans="1:6" ht="15">
      <c r="A23" s="29"/>
      <c r="B23" s="30" t="s">
        <v>38</v>
      </c>
      <c r="C23" s="44">
        <f>E15+E20</f>
        <v>2.991934465724569</v>
      </c>
      <c r="D23" s="42"/>
      <c r="E23" s="42"/>
      <c r="F23" s="42"/>
    </row>
    <row r="24" spans="1:6" ht="15">
      <c r="A24" s="29"/>
      <c r="B24" s="30"/>
      <c r="C24" s="44"/>
      <c r="D24" s="42"/>
      <c r="E24" s="42"/>
      <c r="F24" s="42"/>
    </row>
    <row r="25" spans="1:6" ht="49.5" customHeight="1">
      <c r="A25" s="2"/>
      <c r="B25" s="2"/>
      <c r="C25" s="2"/>
      <c r="D25" s="2"/>
      <c r="E25" s="2"/>
      <c r="F25" s="2"/>
    </row>
    <row r="26" spans="1:6" ht="33" customHeight="1">
      <c r="A26" s="138" t="s">
        <v>39</v>
      </c>
      <c r="B26" s="138"/>
      <c r="C26" s="138"/>
      <c r="D26" s="138"/>
      <c r="E26" s="138"/>
      <c r="F26" s="138"/>
    </row>
    <row r="27" spans="1:6" ht="15">
      <c r="A27" s="1"/>
      <c r="B27" s="1"/>
      <c r="C27" s="1"/>
      <c r="D27" s="2"/>
      <c r="E27" s="2"/>
      <c r="F27" s="2"/>
    </row>
    <row r="28" spans="1:6" ht="71.25">
      <c r="A28" s="8"/>
      <c r="B28" s="9" t="s">
        <v>4</v>
      </c>
      <c r="C28" s="9" t="s">
        <v>5</v>
      </c>
      <c r="D28" s="9" t="s">
        <v>6</v>
      </c>
      <c r="E28" s="9" t="s">
        <v>7</v>
      </c>
      <c r="F28" s="2"/>
    </row>
    <row r="29" spans="1:5" ht="15">
      <c r="A29" s="139" t="s">
        <v>40</v>
      </c>
      <c r="B29" s="139"/>
      <c r="C29" s="139"/>
      <c r="D29" s="12">
        <f>+D30</f>
        <v>32.1</v>
      </c>
      <c r="E29" s="12">
        <f>+E30</f>
        <v>0.01</v>
      </c>
    </row>
    <row r="30" spans="1:5" ht="30">
      <c r="A30" s="15" t="s">
        <v>62</v>
      </c>
      <c r="B30" s="45" t="s">
        <v>41</v>
      </c>
      <c r="C30" s="45" t="s">
        <v>165</v>
      </c>
      <c r="D30" s="17">
        <f>E30*12*$D$2</f>
        <v>32.1</v>
      </c>
      <c r="E30" s="46">
        <v>0.01</v>
      </c>
    </row>
    <row r="31" spans="1:5" ht="32.25" customHeight="1">
      <c r="A31" s="139" t="s">
        <v>43</v>
      </c>
      <c r="B31" s="139"/>
      <c r="C31" s="139"/>
      <c r="D31" s="12">
        <f>D32+D33</f>
        <v>256.8</v>
      </c>
      <c r="E31" s="12">
        <f>E32+E33</f>
        <v>0.08</v>
      </c>
    </row>
    <row r="32" spans="1:5" ht="43.5" customHeight="1">
      <c r="A32" s="15" t="s">
        <v>63</v>
      </c>
      <c r="B32" s="45" t="s">
        <v>44</v>
      </c>
      <c r="C32" s="45" t="s">
        <v>45</v>
      </c>
      <c r="D32" s="17">
        <f>E32*$D$2*12</f>
        <v>64.2</v>
      </c>
      <c r="E32" s="46">
        <v>0.02</v>
      </c>
    </row>
    <row r="33" spans="1:5" ht="30">
      <c r="A33" s="15" t="s">
        <v>65</v>
      </c>
      <c r="B33" s="47" t="s">
        <v>46</v>
      </c>
      <c r="C33" s="8" t="s">
        <v>165</v>
      </c>
      <c r="D33" s="17">
        <f>E33*$D$2*12</f>
        <v>192.60000000000002</v>
      </c>
      <c r="E33" s="18">
        <v>0.06</v>
      </c>
    </row>
    <row r="34" spans="1:6" ht="15">
      <c r="A34" s="9"/>
      <c r="B34" s="27" t="s">
        <v>27</v>
      </c>
      <c r="C34" s="27"/>
      <c r="D34" s="48">
        <f>D29+D31</f>
        <v>288.90000000000003</v>
      </c>
      <c r="E34" s="12">
        <f>E29+E31</f>
        <v>0.09</v>
      </c>
      <c r="F34" s="6"/>
    </row>
    <row r="35" spans="1:6" ht="15">
      <c r="A35" s="2"/>
      <c r="B35" s="2"/>
      <c r="C35" s="2"/>
      <c r="D35" s="2"/>
      <c r="E35" s="2"/>
      <c r="F35" s="2"/>
    </row>
    <row r="36" spans="1:6" ht="15">
      <c r="A36" s="34"/>
      <c r="B36" s="34"/>
      <c r="C36" s="34"/>
      <c r="D36" s="34"/>
      <c r="E36" s="34"/>
      <c r="F36" s="35"/>
    </row>
    <row r="37" spans="1:6" ht="105">
      <c r="A37" s="11" t="s">
        <v>28</v>
      </c>
      <c r="B37" s="11" t="s">
        <v>29</v>
      </c>
      <c r="C37" s="11" t="s">
        <v>30</v>
      </c>
      <c r="D37" s="11" t="s">
        <v>31</v>
      </c>
      <c r="E37" s="11" t="s">
        <v>47</v>
      </c>
      <c r="F37" s="11" t="s">
        <v>33</v>
      </c>
    </row>
    <row r="38" spans="1:6" ht="15">
      <c r="A38" s="11" t="s">
        <v>62</v>
      </c>
      <c r="B38" s="124" t="s">
        <v>302</v>
      </c>
      <c r="C38" s="11" t="s">
        <v>307</v>
      </c>
      <c r="D38" s="36">
        <v>1006</v>
      </c>
      <c r="E38" s="50">
        <f>D38/12/$D$2</f>
        <v>0.3133956386292835</v>
      </c>
      <c r="F38" s="11">
        <v>2</v>
      </c>
    </row>
    <row r="39" spans="1:6" ht="15">
      <c r="A39" s="51"/>
      <c r="B39" s="51" t="s">
        <v>36</v>
      </c>
      <c r="C39" s="51"/>
      <c r="D39" s="52">
        <f>SUM(D38:D38)</f>
        <v>1006</v>
      </c>
      <c r="E39" s="53">
        <f>SUM(E38:E38)</f>
        <v>0.3133956386292835</v>
      </c>
      <c r="F39" s="51"/>
    </row>
    <row r="42" spans="2:3" ht="29.25">
      <c r="B42" s="30" t="s">
        <v>357</v>
      </c>
      <c r="C42" s="55">
        <f>C22</f>
        <v>9604.109634975866</v>
      </c>
    </row>
  </sheetData>
  <sheetProtection/>
  <mergeCells count="7">
    <mergeCell ref="A4:E4"/>
    <mergeCell ref="A26:F26"/>
    <mergeCell ref="A29:C29"/>
    <mergeCell ref="A31:C31"/>
    <mergeCell ref="A7:C7"/>
    <mergeCell ref="A10:C10"/>
    <mergeCell ref="A13:C13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1"/>
  <sheetViews>
    <sheetView zoomScale="75" zoomScaleNormal="75" workbookViewId="0" topLeftCell="A34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202</v>
      </c>
    </row>
    <row r="2" spans="1:6" ht="32.25" customHeight="1">
      <c r="A2" s="2"/>
      <c r="B2" s="1" t="s">
        <v>203</v>
      </c>
      <c r="C2" s="4"/>
      <c r="D2" s="5">
        <v>98.2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30" customHeight="1">
      <c r="A7" s="140" t="s">
        <v>76</v>
      </c>
      <c r="B7" s="143"/>
      <c r="C7" s="144"/>
      <c r="D7" s="23">
        <f>SUM(D8:D9)</f>
        <v>83.05595482148556</v>
      </c>
      <c r="E7" s="23">
        <f>SUM(E8:E9)</f>
        <v>0.0704819711655512</v>
      </c>
      <c r="F7" s="21"/>
    </row>
    <row r="8" spans="1:6" ht="33" customHeight="1">
      <c r="A8" s="15">
        <v>1</v>
      </c>
      <c r="B8" s="22" t="s">
        <v>17</v>
      </c>
      <c r="C8" s="22" t="s">
        <v>18</v>
      </c>
      <c r="D8" s="17">
        <f>E8*12*$D$2</f>
        <v>31.567306411530474</v>
      </c>
      <c r="E8" s="60">
        <v>0.02678827767441486</v>
      </c>
      <c r="F8" s="13"/>
    </row>
    <row r="9" spans="1:6" ht="60">
      <c r="A9" s="15">
        <v>2</v>
      </c>
      <c r="B9" s="22" t="s">
        <v>19</v>
      </c>
      <c r="C9" s="22" t="s">
        <v>18</v>
      </c>
      <c r="D9" s="17">
        <f>E9*12*$D$2</f>
        <v>51.488648409955076</v>
      </c>
      <c r="E9" s="60">
        <v>0.043693693491136346</v>
      </c>
      <c r="F9" s="2"/>
    </row>
    <row r="10" spans="1:9" ht="15">
      <c r="A10" s="145" t="s">
        <v>77</v>
      </c>
      <c r="B10" s="146"/>
      <c r="C10" s="146"/>
      <c r="D10" s="24">
        <f>SUM(D11:D12)</f>
        <v>1179.5582765122183</v>
      </c>
      <c r="E10" s="24">
        <f>SUM(E11:E12)</f>
        <v>1.0009829230415974</v>
      </c>
      <c r="F10" s="2"/>
      <c r="H10" s="64"/>
      <c r="I10" s="56"/>
    </row>
    <row r="11" spans="1:10" ht="60">
      <c r="A11" s="15">
        <v>3</v>
      </c>
      <c r="B11" s="22" t="s">
        <v>86</v>
      </c>
      <c r="C11" s="22" t="s">
        <v>18</v>
      </c>
      <c r="D11" s="17">
        <f>E11*12*$D$2</f>
        <v>142.19362488351473</v>
      </c>
      <c r="E11" s="63">
        <v>0.12066668778302336</v>
      </c>
      <c r="F11" s="2"/>
      <c r="H11" s="64"/>
      <c r="I11" s="64"/>
      <c r="J11" s="65"/>
    </row>
    <row r="12" spans="1:10" ht="60">
      <c r="A12" s="15">
        <v>4</v>
      </c>
      <c r="B12" s="22" t="s">
        <v>22</v>
      </c>
      <c r="C12" s="22" t="s">
        <v>122</v>
      </c>
      <c r="D12" s="17">
        <f>E12*12*$D$2</f>
        <v>1037.3646516287035</v>
      </c>
      <c r="E12" s="63">
        <v>0.8803162352585739</v>
      </c>
      <c r="F12" s="2"/>
      <c r="H12" s="64"/>
      <c r="I12" s="64"/>
      <c r="J12" s="65"/>
    </row>
    <row r="13" spans="1:6" ht="15">
      <c r="A13" s="145" t="s">
        <v>80</v>
      </c>
      <c r="B13" s="145"/>
      <c r="C13" s="145"/>
      <c r="D13" s="25">
        <f>SUM(D14)</f>
        <v>332.2769507151721</v>
      </c>
      <c r="E13" s="23">
        <f>SUM(E14)</f>
        <v>0.281972972433106</v>
      </c>
      <c r="F13" s="2"/>
    </row>
    <row r="14" spans="1:9" ht="15">
      <c r="A14" s="15">
        <v>5</v>
      </c>
      <c r="B14" s="22" t="s">
        <v>25</v>
      </c>
      <c r="C14" s="22" t="s">
        <v>26</v>
      </c>
      <c r="D14" s="17">
        <f>E14*12*$D$2</f>
        <v>332.2769507151721</v>
      </c>
      <c r="E14" s="63">
        <f>0.284272972433106-0.0023</f>
        <v>0.281972972433106</v>
      </c>
      <c r="F14" s="2"/>
      <c r="H14" s="64"/>
      <c r="I14" s="80"/>
    </row>
    <row r="15" spans="1:6" ht="15">
      <c r="A15" s="9"/>
      <c r="B15" s="27" t="s">
        <v>27</v>
      </c>
      <c r="C15" s="27"/>
      <c r="D15" s="48">
        <f>D7+D10+D13</f>
        <v>1594.891182048876</v>
      </c>
      <c r="E15" s="12">
        <f>E7+E10+E13</f>
        <v>1.3534378666402544</v>
      </c>
      <c r="F15" s="6"/>
    </row>
    <row r="16" spans="1:6" ht="15">
      <c r="A16" s="29"/>
      <c r="B16" s="30"/>
      <c r="C16" s="31"/>
      <c r="D16" s="32"/>
      <c r="E16" s="33"/>
      <c r="F16" s="2"/>
    </row>
    <row r="17" spans="1:6" ht="15">
      <c r="A17" s="30"/>
      <c r="B17" s="30"/>
      <c r="C17" s="30"/>
      <c r="D17" s="30"/>
      <c r="E17" s="30"/>
      <c r="F17" s="29"/>
    </row>
    <row r="18" spans="1:6" ht="105">
      <c r="A18" s="11" t="s">
        <v>28</v>
      </c>
      <c r="B18" s="11" t="s">
        <v>29</v>
      </c>
      <c r="C18" s="11" t="s">
        <v>30</v>
      </c>
      <c r="D18" s="11" t="s">
        <v>31</v>
      </c>
      <c r="E18" s="11" t="s">
        <v>32</v>
      </c>
      <c r="F18" s="11" t="s">
        <v>33</v>
      </c>
    </row>
    <row r="19" spans="1:6" ht="15">
      <c r="A19" s="11">
        <v>1</v>
      </c>
      <c r="B19" s="8" t="s">
        <v>123</v>
      </c>
      <c r="C19" s="11" t="s">
        <v>204</v>
      </c>
      <c r="D19" s="11">
        <v>2566</v>
      </c>
      <c r="E19" s="37">
        <f>D19/12/$D$2</f>
        <v>2.1775288526816023</v>
      </c>
      <c r="F19" s="38">
        <v>2</v>
      </c>
    </row>
    <row r="20" spans="1:6" ht="15">
      <c r="A20" s="11"/>
      <c r="B20" s="39" t="s">
        <v>36</v>
      </c>
      <c r="C20" s="10"/>
      <c r="D20" s="54">
        <f>SUM(D19:D19)</f>
        <v>2566</v>
      </c>
      <c r="E20" s="40">
        <f>SUM(E19:E19)</f>
        <v>2.1775288526816023</v>
      </c>
      <c r="F20" s="41"/>
    </row>
    <row r="21" spans="1:6" ht="15">
      <c r="A21" s="29"/>
      <c r="B21" s="30"/>
      <c r="C21" s="42"/>
      <c r="D21" s="42"/>
      <c r="E21" s="42"/>
      <c r="F21" s="42"/>
    </row>
    <row r="22" spans="1:6" ht="29.25">
      <c r="A22" s="29"/>
      <c r="B22" s="30" t="s">
        <v>37</v>
      </c>
      <c r="C22" s="43">
        <f>D15+D20</f>
        <v>4160.891182048876</v>
      </c>
      <c r="D22" s="43"/>
      <c r="E22" s="43"/>
      <c r="F22" s="42"/>
    </row>
    <row r="23" spans="1:6" ht="15">
      <c r="A23" s="29"/>
      <c r="B23" s="30" t="s">
        <v>38</v>
      </c>
      <c r="C23" s="44">
        <f>E15+E20</f>
        <v>3.5309667193218566</v>
      </c>
      <c r="D23" s="42"/>
      <c r="E23" s="42"/>
      <c r="F23" s="42"/>
    </row>
    <row r="24" spans="1:6" ht="15">
      <c r="A24" s="29"/>
      <c r="B24" s="30"/>
      <c r="C24" s="44"/>
      <c r="D24" s="42"/>
      <c r="E24" s="42"/>
      <c r="F24" s="42"/>
    </row>
    <row r="25" spans="1:6" ht="93" customHeight="1">
      <c r="A25" s="2"/>
      <c r="B25" s="2"/>
      <c r="C25" s="2"/>
      <c r="D25" s="2"/>
      <c r="E25" s="2"/>
      <c r="F25" s="2"/>
    </row>
    <row r="26" spans="1:6" ht="33" customHeight="1">
      <c r="A26" s="138" t="s">
        <v>39</v>
      </c>
      <c r="B26" s="138"/>
      <c r="C26" s="138"/>
      <c r="D26" s="138"/>
      <c r="E26" s="138"/>
      <c r="F26" s="138"/>
    </row>
    <row r="27" spans="1:6" ht="15">
      <c r="A27" s="1"/>
      <c r="B27" s="1"/>
      <c r="C27" s="1"/>
      <c r="D27" s="2"/>
      <c r="E27" s="2"/>
      <c r="F27" s="2"/>
    </row>
    <row r="28" spans="1:6" ht="71.25">
      <c r="A28" s="8"/>
      <c r="B28" s="9" t="s">
        <v>4</v>
      </c>
      <c r="C28" s="9" t="s">
        <v>5</v>
      </c>
      <c r="D28" s="9" t="s">
        <v>6</v>
      </c>
      <c r="E28" s="9" t="s">
        <v>7</v>
      </c>
      <c r="F28" s="2"/>
    </row>
    <row r="29" spans="1:5" ht="32.25" customHeight="1">
      <c r="A29" s="139" t="s">
        <v>40</v>
      </c>
      <c r="B29" s="139"/>
      <c r="C29" s="139"/>
      <c r="D29" s="12">
        <f>D30</f>
        <v>11.784</v>
      </c>
      <c r="E29" s="12">
        <f>E30</f>
        <v>0.01</v>
      </c>
    </row>
    <row r="30" spans="1:5" ht="30">
      <c r="A30" s="15">
        <v>1</v>
      </c>
      <c r="B30" s="45" t="s">
        <v>41</v>
      </c>
      <c r="C30" s="45" t="s">
        <v>42</v>
      </c>
      <c r="D30" s="17">
        <f>E30*12*$D$2</f>
        <v>11.784</v>
      </c>
      <c r="E30" s="46">
        <v>0.01</v>
      </c>
    </row>
    <row r="31" spans="1:5" ht="32.25" customHeight="1">
      <c r="A31" s="139" t="s">
        <v>43</v>
      </c>
      <c r="B31" s="139"/>
      <c r="C31" s="139"/>
      <c r="D31" s="12">
        <f>D32+D33</f>
        <v>94.272</v>
      </c>
      <c r="E31" s="12">
        <f>E32+E33</f>
        <v>0.08</v>
      </c>
    </row>
    <row r="32" spans="1:5" ht="28.5" customHeight="1">
      <c r="A32" s="15">
        <v>2</v>
      </c>
      <c r="B32" s="45" t="s">
        <v>44</v>
      </c>
      <c r="C32" s="45" t="s">
        <v>45</v>
      </c>
      <c r="D32" s="17">
        <f>E32*$D$2*12</f>
        <v>23.568</v>
      </c>
      <c r="E32" s="46">
        <v>0.02</v>
      </c>
    </row>
    <row r="33" spans="1:5" ht="15">
      <c r="A33" s="15">
        <v>3</v>
      </c>
      <c r="B33" s="47" t="s">
        <v>46</v>
      </c>
      <c r="C33" s="8" t="s">
        <v>42</v>
      </c>
      <c r="D33" s="17">
        <f>E33*$D$2*12</f>
        <v>70.70400000000001</v>
      </c>
      <c r="E33" s="18">
        <v>0.06</v>
      </c>
    </row>
    <row r="34" spans="1:6" ht="15">
      <c r="A34" s="9"/>
      <c r="B34" s="27" t="s">
        <v>27</v>
      </c>
      <c r="C34" s="27"/>
      <c r="D34" s="48">
        <f>D29+D31</f>
        <v>106.05600000000001</v>
      </c>
      <c r="E34" s="12">
        <f>E29+E31</f>
        <v>0.09</v>
      </c>
      <c r="F34" s="6"/>
    </row>
    <row r="35" spans="1:6" ht="15">
      <c r="A35" s="2"/>
      <c r="B35" s="2"/>
      <c r="C35" s="2"/>
      <c r="D35" s="2"/>
      <c r="E35" s="2"/>
      <c r="F35" s="2"/>
    </row>
    <row r="36" spans="1:6" ht="15">
      <c r="A36" s="34"/>
      <c r="B36" s="34"/>
      <c r="C36" s="34"/>
      <c r="D36" s="34"/>
      <c r="E36" s="34"/>
      <c r="F36" s="35"/>
    </row>
    <row r="37" spans="1:6" ht="105">
      <c r="A37" s="11" t="s">
        <v>28</v>
      </c>
      <c r="B37" s="11" t="s">
        <v>29</v>
      </c>
      <c r="C37" s="11" t="s">
        <v>30</v>
      </c>
      <c r="D37" s="11" t="s">
        <v>31</v>
      </c>
      <c r="E37" s="11" t="s">
        <v>47</v>
      </c>
      <c r="F37" s="11" t="s">
        <v>33</v>
      </c>
    </row>
    <row r="38" spans="1:6" ht="15">
      <c r="A38" s="11">
        <v>1</v>
      </c>
      <c r="B38" s="8" t="s">
        <v>123</v>
      </c>
      <c r="C38" s="11" t="s">
        <v>205</v>
      </c>
      <c r="D38" s="49">
        <v>537</v>
      </c>
      <c r="E38" s="50">
        <f>D38/12/$D$2</f>
        <v>0.45570264765784113</v>
      </c>
      <c r="F38" s="38">
        <v>2</v>
      </c>
    </row>
    <row r="39" spans="1:6" ht="15">
      <c r="A39" s="51"/>
      <c r="B39" s="51" t="s">
        <v>36</v>
      </c>
      <c r="C39" s="51"/>
      <c r="D39" s="52">
        <f>SUM(D38:D38)</f>
        <v>537</v>
      </c>
      <c r="E39" s="53">
        <f>SUM(E38:E38)</f>
        <v>0.45570264765784113</v>
      </c>
      <c r="F39" s="51"/>
    </row>
    <row r="41" spans="2:3" ht="43.5">
      <c r="B41" s="30" t="s">
        <v>206</v>
      </c>
      <c r="C41" s="81">
        <v>4160.891182048876</v>
      </c>
    </row>
  </sheetData>
  <mergeCells count="7">
    <mergeCell ref="A26:F26"/>
    <mergeCell ref="A29:C29"/>
    <mergeCell ref="A31:C31"/>
    <mergeCell ref="A4:E4"/>
    <mergeCell ref="A7:C7"/>
    <mergeCell ref="A10:C10"/>
    <mergeCell ref="A13:C1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5"/>
  <sheetViews>
    <sheetView zoomScale="75" zoomScaleNormal="75" workbookViewId="0" topLeftCell="A34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207</v>
      </c>
    </row>
    <row r="2" spans="1:6" ht="32.25" customHeight="1">
      <c r="A2" s="2"/>
      <c r="B2" s="1" t="s">
        <v>208</v>
      </c>
      <c r="C2" s="4"/>
      <c r="D2" s="5">
        <v>288.42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9" ht="15">
      <c r="A7" s="140" t="s">
        <v>61</v>
      </c>
      <c r="B7" s="141"/>
      <c r="C7" s="142"/>
      <c r="D7" s="12">
        <f>SUM(D8:D9)</f>
        <v>1480.283682313223</v>
      </c>
      <c r="E7" s="12">
        <f>SUM(E8:E9)</f>
        <v>0.42769909689377267</v>
      </c>
      <c r="F7" s="19"/>
      <c r="H7" s="62"/>
      <c r="I7" s="56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1354.3309078803504</v>
      </c>
      <c r="E8" s="60">
        <v>0.3913074994453547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125.95277443287262</v>
      </c>
      <c r="E9" s="60">
        <v>0.03639159744841799</v>
      </c>
      <c r="F9" s="21"/>
    </row>
    <row r="10" spans="1:6" ht="20.25" customHeight="1">
      <c r="A10" s="140" t="s">
        <v>64</v>
      </c>
      <c r="B10" s="143"/>
      <c r="C10" s="144"/>
      <c r="D10" s="23">
        <f>SUM(D11:D12)</f>
        <v>163.90383450253404</v>
      </c>
      <c r="E10" s="23">
        <f>SUM(E11:E12)</f>
        <v>0.04735681601557163</v>
      </c>
      <c r="F10" s="21"/>
    </row>
    <row r="11" spans="1:6" ht="30.75" customHeight="1">
      <c r="A11" s="15">
        <v>3</v>
      </c>
      <c r="B11" s="22" t="s">
        <v>17</v>
      </c>
      <c r="C11" s="22" t="s">
        <v>18</v>
      </c>
      <c r="D11" s="17">
        <f>E11*12*$D$2</f>
        <v>72.79956205893936</v>
      </c>
      <c r="E11" s="60">
        <v>0.021034013492747656</v>
      </c>
      <c r="F11" s="13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91.1042724435947</v>
      </c>
      <c r="E12" s="60">
        <v>0.026322802522823974</v>
      </c>
      <c r="F12" s="2"/>
    </row>
    <row r="13" spans="1:9" ht="15">
      <c r="A13" s="145" t="s">
        <v>67</v>
      </c>
      <c r="B13" s="146"/>
      <c r="C13" s="146"/>
      <c r="D13" s="24">
        <f>SUM(D14:D15)</f>
        <v>3574.8995074222826</v>
      </c>
      <c r="E13" s="24">
        <f>SUM(E14:E15)</f>
        <v>1.0328974838263305</v>
      </c>
      <c r="F13" s="2"/>
      <c r="H13" s="64"/>
      <c r="I13" s="56"/>
    </row>
    <row r="14" spans="1:10" ht="60">
      <c r="A14" s="15">
        <v>5</v>
      </c>
      <c r="B14" s="22" t="s">
        <v>86</v>
      </c>
      <c r="C14" s="22" t="s">
        <v>18</v>
      </c>
      <c r="D14" s="17">
        <f>E14*12*$D$2</f>
        <v>217.7182971121262</v>
      </c>
      <c r="E14" s="63">
        <v>0.0629054553290705</v>
      </c>
      <c r="F14" s="2"/>
      <c r="H14" s="64"/>
      <c r="I14" s="64"/>
      <c r="J14" s="65"/>
    </row>
    <row r="15" spans="1:10" ht="60">
      <c r="A15" s="15">
        <v>6</v>
      </c>
      <c r="B15" s="22" t="s">
        <v>22</v>
      </c>
      <c r="C15" s="22" t="s">
        <v>122</v>
      </c>
      <c r="D15" s="17">
        <f>E15*12*$D$2</f>
        <v>3357.1812103101565</v>
      </c>
      <c r="E15" s="63">
        <v>0.96999202849726</v>
      </c>
      <c r="F15" s="2"/>
      <c r="H15" s="64"/>
      <c r="I15" s="64"/>
      <c r="J15" s="65"/>
    </row>
    <row r="16" spans="1:6" ht="15">
      <c r="A16" s="145" t="s">
        <v>70</v>
      </c>
      <c r="B16" s="145"/>
      <c r="C16" s="145"/>
      <c r="D16" s="25">
        <f>SUM(D17)</f>
        <v>453.57282792028224</v>
      </c>
      <c r="E16" s="23">
        <f>SUM(E17)</f>
        <v>0.131051021635197</v>
      </c>
      <c r="F16" s="2"/>
    </row>
    <row r="17" spans="1:9" ht="15">
      <c r="A17" s="15">
        <v>7</v>
      </c>
      <c r="B17" s="22" t="s">
        <v>25</v>
      </c>
      <c r="C17" s="22" t="s">
        <v>26</v>
      </c>
      <c r="D17" s="17">
        <f>E17*12*$D$2</f>
        <v>453.57282792028224</v>
      </c>
      <c r="E17" s="63">
        <f>0.132751021635197-0.0017</f>
        <v>0.131051021635197</v>
      </c>
      <c r="F17" s="2"/>
      <c r="H17" s="64"/>
      <c r="I17" s="80"/>
    </row>
    <row r="18" spans="1:6" ht="15">
      <c r="A18" s="9"/>
      <c r="B18" s="27" t="s">
        <v>27</v>
      </c>
      <c r="C18" s="27"/>
      <c r="D18" s="48">
        <f>D7+D10+D13+D16</f>
        <v>5672.659852158322</v>
      </c>
      <c r="E18" s="12">
        <f>E7+E10+E13+E16</f>
        <v>1.6390044183708719</v>
      </c>
      <c r="F18" s="6"/>
    </row>
    <row r="19" spans="1:6" ht="15">
      <c r="A19" s="29"/>
      <c r="B19" s="30"/>
      <c r="C19" s="31"/>
      <c r="D19" s="32"/>
      <c r="E19" s="33"/>
      <c r="F19" s="2"/>
    </row>
    <row r="20" spans="1:6" ht="15">
      <c r="A20" s="30"/>
      <c r="B20" s="30"/>
      <c r="C20" s="30"/>
      <c r="D20" s="30"/>
      <c r="E20" s="30"/>
      <c r="F20" s="29"/>
    </row>
    <row r="21" spans="1:6" ht="105">
      <c r="A21" s="11" t="s">
        <v>28</v>
      </c>
      <c r="B21" s="11" t="s">
        <v>29</v>
      </c>
      <c r="C21" s="11" t="s">
        <v>30</v>
      </c>
      <c r="D21" s="11" t="s">
        <v>31</v>
      </c>
      <c r="E21" s="11" t="s">
        <v>32</v>
      </c>
      <c r="F21" s="11" t="s">
        <v>33</v>
      </c>
    </row>
    <row r="22" spans="1:6" ht="15">
      <c r="A22" s="11">
        <v>1</v>
      </c>
      <c r="B22" s="8" t="s">
        <v>123</v>
      </c>
      <c r="C22" s="11" t="s">
        <v>209</v>
      </c>
      <c r="D22" s="11">
        <v>7538.1</v>
      </c>
      <c r="E22" s="37">
        <f>D22/12/$D$2</f>
        <v>2.177986963456071</v>
      </c>
      <c r="F22" s="38">
        <v>2</v>
      </c>
    </row>
    <row r="23" spans="1:6" ht="15">
      <c r="A23" s="11"/>
      <c r="B23" s="39" t="s">
        <v>36</v>
      </c>
      <c r="C23" s="10"/>
      <c r="D23" s="54">
        <f>SUM(D22:D22)</f>
        <v>7538.1</v>
      </c>
      <c r="E23" s="40">
        <f>SUM(E22:E22)</f>
        <v>2.177986963456071</v>
      </c>
      <c r="F23" s="41"/>
    </row>
    <row r="24" spans="1:6" ht="15">
      <c r="A24" s="29"/>
      <c r="B24" s="30"/>
      <c r="C24" s="42"/>
      <c r="D24" s="42"/>
      <c r="E24" s="42"/>
      <c r="F24" s="42"/>
    </row>
    <row r="25" spans="1:6" ht="29.25">
      <c r="A25" s="29"/>
      <c r="B25" s="30" t="s">
        <v>37</v>
      </c>
      <c r="C25" s="43">
        <f>D18+D23</f>
        <v>13210.759852158322</v>
      </c>
      <c r="D25" s="43"/>
      <c r="E25" s="43"/>
      <c r="F25" s="42"/>
    </row>
    <row r="26" spans="1:6" ht="15">
      <c r="A26" s="29"/>
      <c r="B26" s="30" t="s">
        <v>38</v>
      </c>
      <c r="C26" s="44">
        <f>E18+E23</f>
        <v>3.816991381826943</v>
      </c>
      <c r="D26" s="42"/>
      <c r="E26" s="42"/>
      <c r="F26" s="42"/>
    </row>
    <row r="27" spans="1:6" ht="15">
      <c r="A27" s="29"/>
      <c r="B27" s="30"/>
      <c r="C27" s="44"/>
      <c r="D27" s="42"/>
      <c r="E27" s="42"/>
      <c r="F27" s="42"/>
    </row>
    <row r="28" spans="1:6" ht="33" customHeight="1">
      <c r="A28" s="2"/>
      <c r="B28" s="2"/>
      <c r="C28" s="2"/>
      <c r="D28" s="2"/>
      <c r="E28" s="2"/>
      <c r="F28" s="2"/>
    </row>
    <row r="29" spans="1:6" ht="33" customHeight="1">
      <c r="A29" s="138" t="s">
        <v>39</v>
      </c>
      <c r="B29" s="138"/>
      <c r="C29" s="138"/>
      <c r="D29" s="138"/>
      <c r="E29" s="138"/>
      <c r="F29" s="13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4</v>
      </c>
      <c r="C31" s="9" t="s">
        <v>5</v>
      </c>
      <c r="D31" s="9" t="s">
        <v>6</v>
      </c>
      <c r="E31" s="9" t="s">
        <v>7</v>
      </c>
      <c r="F31" s="2"/>
    </row>
    <row r="32" spans="1:5" ht="29.25" customHeight="1">
      <c r="A32" s="139" t="s">
        <v>40</v>
      </c>
      <c r="B32" s="139"/>
      <c r="C32" s="139"/>
      <c r="D32" s="12">
        <f>D33</f>
        <v>34.6104</v>
      </c>
      <c r="E32" s="12">
        <f>E33</f>
        <v>0.01</v>
      </c>
    </row>
    <row r="33" spans="1:5" ht="30">
      <c r="A33" s="15">
        <v>1</v>
      </c>
      <c r="B33" s="45" t="s">
        <v>41</v>
      </c>
      <c r="C33" s="45" t="s">
        <v>42</v>
      </c>
      <c r="D33" s="17">
        <f>E33*12*$D$2</f>
        <v>34.6104</v>
      </c>
      <c r="E33" s="46">
        <v>0.01</v>
      </c>
    </row>
    <row r="34" spans="1:5" ht="32.25" customHeight="1">
      <c r="A34" s="139" t="s">
        <v>43</v>
      </c>
      <c r="B34" s="139"/>
      <c r="C34" s="139"/>
      <c r="D34" s="12">
        <f>D35+D36</f>
        <v>276.8832</v>
      </c>
      <c r="E34" s="12">
        <f>E35+E36</f>
        <v>0.08</v>
      </c>
    </row>
    <row r="35" spans="1:5" ht="28.5" customHeight="1">
      <c r="A35" s="15">
        <v>2</v>
      </c>
      <c r="B35" s="45" t="s">
        <v>44</v>
      </c>
      <c r="C35" s="45" t="s">
        <v>45</v>
      </c>
      <c r="D35" s="17">
        <f>E35*$D$2*12</f>
        <v>69.22080000000001</v>
      </c>
      <c r="E35" s="46">
        <v>0.02</v>
      </c>
    </row>
    <row r="36" spans="1:5" ht="15">
      <c r="A36" s="15">
        <v>3</v>
      </c>
      <c r="B36" s="47" t="s">
        <v>46</v>
      </c>
      <c r="C36" s="8" t="s">
        <v>42</v>
      </c>
      <c r="D36" s="17">
        <f>E36*$D$2*12</f>
        <v>207.6624</v>
      </c>
      <c r="E36" s="18">
        <v>0.06</v>
      </c>
    </row>
    <row r="37" spans="1:6" ht="15">
      <c r="A37" s="9"/>
      <c r="B37" s="27" t="s">
        <v>27</v>
      </c>
      <c r="C37" s="27"/>
      <c r="D37" s="48">
        <f>D32+D34</f>
        <v>311.4936</v>
      </c>
      <c r="E37" s="12">
        <f>E32+E34</f>
        <v>0.09</v>
      </c>
      <c r="F37" s="6"/>
    </row>
    <row r="38" spans="1:6" ht="15">
      <c r="A38" s="2"/>
      <c r="B38" s="2"/>
      <c r="C38" s="2"/>
      <c r="D38" s="2"/>
      <c r="E38" s="2"/>
      <c r="F38" s="2"/>
    </row>
    <row r="39" spans="1:6" ht="15">
      <c r="A39" s="34"/>
      <c r="B39" s="34"/>
      <c r="C39" s="34"/>
      <c r="D39" s="34"/>
      <c r="E39" s="34"/>
      <c r="F39" s="35"/>
    </row>
    <row r="40" spans="1:6" ht="105">
      <c r="A40" s="11" t="s">
        <v>28</v>
      </c>
      <c r="B40" s="11" t="s">
        <v>29</v>
      </c>
      <c r="C40" s="11" t="s">
        <v>30</v>
      </c>
      <c r="D40" s="11" t="s">
        <v>31</v>
      </c>
      <c r="E40" s="11" t="s">
        <v>47</v>
      </c>
      <c r="F40" s="11" t="s">
        <v>33</v>
      </c>
    </row>
    <row r="41" spans="1:6" ht="15">
      <c r="A41" s="11">
        <v>1</v>
      </c>
      <c r="B41" s="8" t="s">
        <v>123</v>
      </c>
      <c r="C41" s="11" t="s">
        <v>124</v>
      </c>
      <c r="D41" s="36">
        <v>1098.6</v>
      </c>
      <c r="E41" s="50">
        <f>D41/12/$D$2</f>
        <v>0.3174190416753346</v>
      </c>
      <c r="F41" s="38">
        <v>2</v>
      </c>
    </row>
    <row r="42" spans="1:6" ht="15">
      <c r="A42" s="51"/>
      <c r="B42" s="51" t="s">
        <v>36</v>
      </c>
      <c r="C42" s="51"/>
      <c r="D42" s="52">
        <f>SUM(D41:D41)</f>
        <v>1098.6</v>
      </c>
      <c r="E42" s="53">
        <f>SUM(E41:E41)</f>
        <v>0.3174190416753346</v>
      </c>
      <c r="F42" s="51"/>
    </row>
    <row r="45" spans="2:4" ht="43.5">
      <c r="B45" s="30" t="s">
        <v>210</v>
      </c>
      <c r="D45" s="81">
        <v>13210.759852158322</v>
      </c>
    </row>
  </sheetData>
  <mergeCells count="8">
    <mergeCell ref="A4:E4"/>
    <mergeCell ref="A7:C7"/>
    <mergeCell ref="A10:C10"/>
    <mergeCell ref="A34:C34"/>
    <mergeCell ref="A13:C13"/>
    <mergeCell ref="A16:C16"/>
    <mergeCell ref="A29:F29"/>
    <mergeCell ref="A32:C32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workbookViewId="0" topLeftCell="A25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211</v>
      </c>
    </row>
    <row r="2" spans="1:6" ht="32.25" customHeight="1">
      <c r="A2" s="2"/>
      <c r="B2" s="1" t="s">
        <v>212</v>
      </c>
      <c r="C2" s="4"/>
      <c r="D2" s="5">
        <v>23.87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30.75" customHeight="1">
      <c r="A7" s="145" t="s">
        <v>8</v>
      </c>
      <c r="B7" s="146"/>
      <c r="C7" s="146"/>
      <c r="D7" s="12">
        <f>SUM(D8:D8)</f>
        <v>52.17272931532327</v>
      </c>
      <c r="E7" s="12">
        <f>SUM(E8:E8)</f>
        <v>0.18214191214677858</v>
      </c>
      <c r="F7" s="13"/>
    </row>
    <row r="8" spans="1:9" ht="15.75" customHeight="1">
      <c r="A8" s="15">
        <v>1</v>
      </c>
      <c r="B8" s="8" t="s">
        <v>9</v>
      </c>
      <c r="C8" s="16" t="s">
        <v>10</v>
      </c>
      <c r="D8" s="17">
        <f>E8*$D$2*12</f>
        <v>52.17272931532327</v>
      </c>
      <c r="E8" s="60">
        <v>0.18214191214677858</v>
      </c>
      <c r="F8" s="2"/>
      <c r="H8" s="61"/>
      <c r="I8" s="61"/>
    </row>
    <row r="9" spans="1:6" ht="21" customHeight="1">
      <c r="A9" s="140" t="s">
        <v>64</v>
      </c>
      <c r="B9" s="143"/>
      <c r="C9" s="144"/>
      <c r="D9" s="23">
        <f>SUM(D10:D11)</f>
        <v>85.67563517824212</v>
      </c>
      <c r="E9" s="23">
        <f>SUM(E10:E11)</f>
        <v>0.29910499643290783</v>
      </c>
      <c r="F9" s="21"/>
    </row>
    <row r="10" spans="1:6" ht="33" customHeight="1">
      <c r="A10" s="15">
        <v>2</v>
      </c>
      <c r="B10" s="22" t="s">
        <v>17</v>
      </c>
      <c r="C10" s="22" t="s">
        <v>18</v>
      </c>
      <c r="D10" s="17">
        <f>E10*12*$D$2</f>
        <v>47.19022995124922</v>
      </c>
      <c r="E10" s="60">
        <v>0.1647473465690868</v>
      </c>
      <c r="F10" s="13"/>
    </row>
    <row r="11" spans="1:6" ht="60">
      <c r="A11" s="15">
        <v>3</v>
      </c>
      <c r="B11" s="22" t="s">
        <v>19</v>
      </c>
      <c r="C11" s="22" t="s">
        <v>18</v>
      </c>
      <c r="D11" s="17">
        <f>E11*12*$D$2</f>
        <v>38.4854052269929</v>
      </c>
      <c r="E11" s="60">
        <v>0.13435764986382104</v>
      </c>
      <c r="F11" s="2"/>
    </row>
    <row r="12" spans="1:9" ht="15">
      <c r="A12" s="145" t="s">
        <v>67</v>
      </c>
      <c r="B12" s="146"/>
      <c r="C12" s="146"/>
      <c r="D12" s="24">
        <f>SUM(D13:D14)</f>
        <v>202.8308772504523</v>
      </c>
      <c r="E12" s="24">
        <f>SUM(E13:E14)</f>
        <v>0.7081094723168981</v>
      </c>
      <c r="F12" s="2"/>
      <c r="H12" s="64"/>
      <c r="I12" s="56"/>
    </row>
    <row r="13" spans="1:10" ht="60">
      <c r="A13" s="15">
        <v>4</v>
      </c>
      <c r="B13" s="22" t="s">
        <v>86</v>
      </c>
      <c r="C13" s="22" t="s">
        <v>18</v>
      </c>
      <c r="D13" s="17">
        <f>E13*12*$D$2</f>
        <v>13.17696315459757</v>
      </c>
      <c r="E13" s="63">
        <v>0.04600252462853501</v>
      </c>
      <c r="F13" s="2"/>
      <c r="H13" s="64"/>
      <c r="I13" s="64"/>
      <c r="J13" s="65"/>
    </row>
    <row r="14" spans="1:14" ht="60">
      <c r="A14" s="15">
        <v>5</v>
      </c>
      <c r="B14" s="22" t="s">
        <v>22</v>
      </c>
      <c r="C14" s="22" t="s">
        <v>122</v>
      </c>
      <c r="D14" s="17">
        <f>E14*12*$D$2</f>
        <v>189.65391409585473</v>
      </c>
      <c r="E14" s="63">
        <v>0.6621069476883631</v>
      </c>
      <c r="F14" s="2"/>
      <c r="H14" s="64"/>
      <c r="I14" s="64"/>
      <c r="J14" s="65"/>
      <c r="N14" s="14"/>
    </row>
    <row r="15" spans="1:6" ht="15">
      <c r="A15" s="145" t="s">
        <v>70</v>
      </c>
      <c r="B15" s="145"/>
      <c r="C15" s="145"/>
      <c r="D15" s="25">
        <f>SUM(D16)</f>
        <v>164.37947159210216</v>
      </c>
      <c r="E15" s="23">
        <f>SUM(E16)</f>
        <v>0.5738705194529471</v>
      </c>
      <c r="F15" s="2"/>
    </row>
    <row r="16" spans="1:9" ht="15">
      <c r="A16" s="15">
        <v>6</v>
      </c>
      <c r="B16" s="22" t="s">
        <v>25</v>
      </c>
      <c r="C16" s="22" t="s">
        <v>26</v>
      </c>
      <c r="D16" s="17">
        <f>E16*12*$D$2</f>
        <v>164.37947159210216</v>
      </c>
      <c r="E16" s="63">
        <v>0.5738705194529471</v>
      </c>
      <c r="F16" s="2"/>
      <c r="H16" s="64"/>
      <c r="I16" s="80"/>
    </row>
    <row r="17" spans="1:6" ht="15">
      <c r="A17" s="9"/>
      <c r="B17" s="27" t="s">
        <v>27</v>
      </c>
      <c r="C17" s="27"/>
      <c r="D17" s="48">
        <f>D7+D9+D12+D15</f>
        <v>505.0587133361198</v>
      </c>
      <c r="E17" s="12">
        <f>E7+E9+E12+E15</f>
        <v>1.7632269003495318</v>
      </c>
      <c r="F17" s="6"/>
    </row>
    <row r="18" spans="1:6" ht="15">
      <c r="A18" s="29"/>
      <c r="B18" s="30"/>
      <c r="C18" s="31"/>
      <c r="D18" s="32"/>
      <c r="E18" s="33"/>
      <c r="F18" s="2"/>
    </row>
    <row r="19" spans="1:6" ht="15">
      <c r="A19" s="30"/>
      <c r="B19" s="30"/>
      <c r="C19" s="30"/>
      <c r="D19" s="30"/>
      <c r="E19" s="30"/>
      <c r="F19" s="29"/>
    </row>
    <row r="20" spans="1:6" ht="105">
      <c r="A20" s="11" t="s">
        <v>28</v>
      </c>
      <c r="B20" s="11" t="s">
        <v>29</v>
      </c>
      <c r="C20" s="11" t="s">
        <v>30</v>
      </c>
      <c r="D20" s="11" t="s">
        <v>31</v>
      </c>
      <c r="E20" s="11" t="s">
        <v>32</v>
      </c>
      <c r="F20" s="11" t="s">
        <v>33</v>
      </c>
    </row>
    <row r="21" spans="1:6" ht="15">
      <c r="A21" s="11">
        <v>1</v>
      </c>
      <c r="B21" s="8" t="s">
        <v>123</v>
      </c>
      <c r="C21" s="11" t="s">
        <v>48</v>
      </c>
      <c r="D21" s="11">
        <v>623.7</v>
      </c>
      <c r="E21" s="37">
        <f>D21/12/$D$2</f>
        <v>2.1774193548387095</v>
      </c>
      <c r="F21" s="38">
        <v>2</v>
      </c>
    </row>
    <row r="22" spans="1:6" ht="15">
      <c r="A22" s="11"/>
      <c r="B22" s="39" t="s">
        <v>36</v>
      </c>
      <c r="C22" s="10"/>
      <c r="D22" s="54">
        <f>SUM(D21:D21)</f>
        <v>623.7</v>
      </c>
      <c r="E22" s="40">
        <f>SUM(E21:E21)</f>
        <v>2.1774193548387095</v>
      </c>
      <c r="F22" s="41"/>
    </row>
    <row r="23" spans="1:6" ht="15">
      <c r="A23" s="29"/>
      <c r="B23" s="30"/>
      <c r="C23" s="42"/>
      <c r="D23" s="42"/>
      <c r="E23" s="42"/>
      <c r="F23" s="42"/>
    </row>
    <row r="24" spans="1:6" ht="29.25">
      <c r="A24" s="29"/>
      <c r="B24" s="30" t="s">
        <v>37</v>
      </c>
      <c r="C24" s="43">
        <f>D17+D22</f>
        <v>1128.7587133361199</v>
      </c>
      <c r="D24" s="43"/>
      <c r="E24" s="43"/>
      <c r="F24" s="42"/>
    </row>
    <row r="25" spans="1:6" ht="15">
      <c r="A25" s="29"/>
      <c r="B25" s="30" t="s">
        <v>38</v>
      </c>
      <c r="C25" s="44">
        <f>E17+E22</f>
        <v>3.9406462551882413</v>
      </c>
      <c r="D25" s="42"/>
      <c r="E25" s="42"/>
      <c r="F25" s="42"/>
    </row>
    <row r="26" spans="1:6" ht="15">
      <c r="A26" s="29"/>
      <c r="B26" s="30"/>
      <c r="C26" s="44"/>
      <c r="D26" s="42"/>
      <c r="E26" s="42"/>
      <c r="F26" s="42"/>
    </row>
    <row r="27" spans="1:6" ht="42" customHeight="1">
      <c r="A27" s="2"/>
      <c r="B27" s="2"/>
      <c r="C27" s="2"/>
      <c r="D27" s="2"/>
      <c r="E27" s="2"/>
      <c r="F27" s="2"/>
    </row>
    <row r="28" spans="1:6" ht="33" customHeight="1">
      <c r="A28" s="138" t="s">
        <v>39</v>
      </c>
      <c r="B28" s="138"/>
      <c r="C28" s="138"/>
      <c r="D28" s="138"/>
      <c r="E28" s="138"/>
      <c r="F28" s="138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4</v>
      </c>
      <c r="C30" s="9" t="s">
        <v>5</v>
      </c>
      <c r="D30" s="9" t="s">
        <v>6</v>
      </c>
      <c r="E30" s="9" t="s">
        <v>7</v>
      </c>
      <c r="F30" s="2"/>
    </row>
    <row r="31" spans="1:5" ht="27.75" customHeight="1">
      <c r="A31" s="139" t="s">
        <v>40</v>
      </c>
      <c r="B31" s="139"/>
      <c r="C31" s="139"/>
      <c r="D31" s="12">
        <f>D32</f>
        <v>2.8644</v>
      </c>
      <c r="E31" s="12">
        <f>E32</f>
        <v>0.01</v>
      </c>
    </row>
    <row r="32" spans="1:5" ht="30">
      <c r="A32" s="15">
        <v>1</v>
      </c>
      <c r="B32" s="45" t="s">
        <v>41</v>
      </c>
      <c r="C32" s="45" t="s">
        <v>42</v>
      </c>
      <c r="D32" s="17">
        <f>E32*12*$D$2</f>
        <v>2.8644</v>
      </c>
      <c r="E32" s="46">
        <v>0.01</v>
      </c>
    </row>
    <row r="33" spans="1:5" ht="32.25" customHeight="1">
      <c r="A33" s="139" t="s">
        <v>43</v>
      </c>
      <c r="B33" s="139"/>
      <c r="C33" s="139"/>
      <c r="D33" s="12">
        <f>D34+D35</f>
        <v>22.9152</v>
      </c>
      <c r="E33" s="12">
        <f>E34+E35</f>
        <v>0.08</v>
      </c>
    </row>
    <row r="34" spans="1:5" ht="28.5" customHeight="1">
      <c r="A34" s="15">
        <v>2</v>
      </c>
      <c r="B34" s="45" t="s">
        <v>44</v>
      </c>
      <c r="C34" s="45" t="s">
        <v>45</v>
      </c>
      <c r="D34" s="17">
        <f>E34*$D$2*12</f>
        <v>5.728800000000001</v>
      </c>
      <c r="E34" s="46">
        <v>0.02</v>
      </c>
    </row>
    <row r="35" spans="1:5" ht="15">
      <c r="A35" s="15">
        <v>3</v>
      </c>
      <c r="B35" s="47" t="s">
        <v>46</v>
      </c>
      <c r="C35" s="8" t="s">
        <v>213</v>
      </c>
      <c r="D35" s="17">
        <f>E35*$D$2*12</f>
        <v>17.1864</v>
      </c>
      <c r="E35" s="18">
        <v>0.06</v>
      </c>
    </row>
    <row r="36" spans="1:6" ht="15">
      <c r="A36" s="9"/>
      <c r="B36" s="27" t="s">
        <v>27</v>
      </c>
      <c r="C36" s="27"/>
      <c r="D36" s="48">
        <f>D31+D33</f>
        <v>25.7796</v>
      </c>
      <c r="E36" s="12">
        <f>E31+E33</f>
        <v>0.09</v>
      </c>
      <c r="F36" s="6"/>
    </row>
    <row r="37" spans="1:6" ht="15">
      <c r="A37" s="2"/>
      <c r="B37" s="2"/>
      <c r="C37" s="2"/>
      <c r="D37" s="2"/>
      <c r="E37" s="2"/>
      <c r="F37" s="2"/>
    </row>
    <row r="38" spans="1:6" s="56" customFormat="1" ht="43.5">
      <c r="A38" s="30"/>
      <c r="B38" s="30" t="s">
        <v>214</v>
      </c>
      <c r="C38" s="105">
        <v>1128.7587133361199</v>
      </c>
      <c r="D38" s="30"/>
      <c r="E38" s="30"/>
      <c r="F38" s="29"/>
    </row>
  </sheetData>
  <mergeCells count="8">
    <mergeCell ref="A4:E4"/>
    <mergeCell ref="A7:C7"/>
    <mergeCell ref="A9:C9"/>
    <mergeCell ref="A33:C33"/>
    <mergeCell ref="A12:C12"/>
    <mergeCell ref="A15:C15"/>
    <mergeCell ref="A28:F28"/>
    <mergeCell ref="A31:C31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6"/>
  <sheetViews>
    <sheetView zoomScale="97" zoomScaleNormal="97" workbookViewId="0" topLeftCell="A34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38" t="s">
        <v>49</v>
      </c>
      <c r="B1" s="138"/>
      <c r="C1" s="138"/>
      <c r="D1" s="138"/>
      <c r="E1" s="138"/>
      <c r="F1" s="2"/>
    </row>
    <row r="2" spans="1:6" ht="39" customHeight="1">
      <c r="A2" s="2"/>
      <c r="B2" s="1" t="s">
        <v>50</v>
      </c>
      <c r="C2" s="4"/>
      <c r="D2" s="5">
        <v>140.7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30.75" customHeight="1">
      <c r="A7" s="145" t="s">
        <v>8</v>
      </c>
      <c r="B7" s="146"/>
      <c r="C7" s="146"/>
      <c r="D7" s="12">
        <f>D8</f>
        <v>260.8636465766167</v>
      </c>
      <c r="E7" s="12">
        <f>E8</f>
        <v>0.15450346279117314</v>
      </c>
      <c r="F7" s="13"/>
      <c r="G7" s="14"/>
    </row>
    <row r="8" spans="1:7" ht="15">
      <c r="A8" s="15">
        <v>1</v>
      </c>
      <c r="B8" s="8" t="s">
        <v>9</v>
      </c>
      <c r="C8" s="16" t="s">
        <v>10</v>
      </c>
      <c r="D8" s="17">
        <f>E8*$D$2*12</f>
        <v>260.8636465766167</v>
      </c>
      <c r="E8" s="18">
        <v>0.15450346279117314</v>
      </c>
      <c r="F8" s="2"/>
      <c r="G8" s="14"/>
    </row>
    <row r="9" spans="1:7" ht="15">
      <c r="A9" s="140" t="s">
        <v>11</v>
      </c>
      <c r="B9" s="141"/>
      <c r="C9" s="142"/>
      <c r="D9" s="12">
        <f>SUM(D10:D11)</f>
        <v>1776.3404187758676</v>
      </c>
      <c r="E9" s="12">
        <f>SUM(E10:E11)</f>
        <v>1.0520850620563067</v>
      </c>
      <c r="F9" s="19"/>
      <c r="G9" s="14"/>
    </row>
    <row r="10" spans="1:7" ht="15.75" customHeight="1">
      <c r="A10" s="15">
        <v>2</v>
      </c>
      <c r="B10" s="8" t="s">
        <v>12</v>
      </c>
      <c r="C10" s="16" t="s">
        <v>13</v>
      </c>
      <c r="D10" s="17">
        <f>E10*$D$2*12</f>
        <v>1625.1970894564206</v>
      </c>
      <c r="E10" s="20">
        <v>0.962566387974663</v>
      </c>
      <c r="F10" s="21"/>
      <c r="G10" s="14"/>
    </row>
    <row r="11" spans="1:7" ht="30">
      <c r="A11" s="15">
        <v>3</v>
      </c>
      <c r="B11" s="22" t="s">
        <v>14</v>
      </c>
      <c r="C11" s="22" t="s">
        <v>15</v>
      </c>
      <c r="D11" s="17">
        <f>E11*$D$2*12</f>
        <v>151.14332931944708</v>
      </c>
      <c r="E11" s="17">
        <v>0.08951867408164363</v>
      </c>
      <c r="F11" s="21"/>
      <c r="G11" s="14"/>
    </row>
    <row r="12" spans="1:7" ht="15">
      <c r="A12" s="140" t="s">
        <v>16</v>
      </c>
      <c r="B12" s="143"/>
      <c r="C12" s="144"/>
      <c r="D12" s="23">
        <f>SUM(D13:D14)</f>
        <v>124.16104040523498</v>
      </c>
      <c r="E12" s="23">
        <f>SUM(E13:E14)</f>
        <v>0.07353769272994254</v>
      </c>
      <c r="F12" s="21"/>
      <c r="G12" s="14"/>
    </row>
    <row r="13" spans="1:7" ht="15.75" customHeight="1">
      <c r="A13" s="15">
        <v>4</v>
      </c>
      <c r="B13" s="22" t="s">
        <v>17</v>
      </c>
      <c r="C13" s="22" t="s">
        <v>18</v>
      </c>
      <c r="D13" s="17">
        <f>E13*12*$D$2</f>
        <v>47.19022995124917</v>
      </c>
      <c r="E13" s="18">
        <v>0.0279496742189346</v>
      </c>
      <c r="F13" s="13"/>
      <c r="G13" s="14"/>
    </row>
    <row r="14" spans="1:7" ht="60">
      <c r="A14" s="15">
        <v>5</v>
      </c>
      <c r="B14" s="22" t="s">
        <v>19</v>
      </c>
      <c r="C14" s="22" t="s">
        <v>18</v>
      </c>
      <c r="D14" s="17">
        <f>E14*12*$D$2</f>
        <v>76.9708104539858</v>
      </c>
      <c r="E14" s="17">
        <v>0.045588018511007945</v>
      </c>
      <c r="F14" s="2"/>
      <c r="G14" s="14"/>
    </row>
    <row r="15" spans="1:7" ht="15">
      <c r="A15" s="145" t="s">
        <v>20</v>
      </c>
      <c r="B15" s="146"/>
      <c r="C15" s="146"/>
      <c r="D15" s="24">
        <f>SUM(D16:D17)</f>
        <v>1754.2711560424868</v>
      </c>
      <c r="E15" s="24">
        <f>SUM(E16:E17)</f>
        <v>1.0390139516953845</v>
      </c>
      <c r="F15" s="2"/>
      <c r="G15" s="14"/>
    </row>
    <row r="16" spans="1:7" ht="60">
      <c r="A16" s="15">
        <v>6</v>
      </c>
      <c r="B16" s="22" t="s">
        <v>21</v>
      </c>
      <c r="C16" s="22" t="s">
        <v>18</v>
      </c>
      <c r="D16" s="17">
        <f>E16*12*$D$2</f>
        <v>212.56643719857456</v>
      </c>
      <c r="E16" s="17">
        <v>0.12589815043744051</v>
      </c>
      <c r="F16" s="2"/>
      <c r="G16" s="14"/>
    </row>
    <row r="17" spans="1:7" ht="75">
      <c r="A17" s="15">
        <v>7</v>
      </c>
      <c r="B17" s="22" t="s">
        <v>22</v>
      </c>
      <c r="C17" s="22" t="s">
        <v>23</v>
      </c>
      <c r="D17" s="17">
        <f>E17*12*$D$2</f>
        <v>1541.7047188439124</v>
      </c>
      <c r="E17" s="20">
        <v>0.9131158012579439</v>
      </c>
      <c r="F17" s="2"/>
      <c r="G17" s="14"/>
    </row>
    <row r="18" spans="1:7" ht="15">
      <c r="A18" s="145" t="s">
        <v>24</v>
      </c>
      <c r="B18" s="145"/>
      <c r="C18" s="145"/>
      <c r="D18" s="25">
        <f>SUM(D19)</f>
        <v>371.72176287295645</v>
      </c>
      <c r="E18" s="25">
        <f>SUM(E19)</f>
        <v>0.22016214337417467</v>
      </c>
      <c r="F18" s="2"/>
      <c r="G18" s="14"/>
    </row>
    <row r="19" spans="1:7" ht="15">
      <c r="A19" s="15">
        <v>8</v>
      </c>
      <c r="B19" s="22" t="s">
        <v>25</v>
      </c>
      <c r="C19" s="22" t="s">
        <v>26</v>
      </c>
      <c r="D19" s="17">
        <f>E19*12*$D$2</f>
        <v>371.72176287295645</v>
      </c>
      <c r="E19" s="26">
        <v>0.22016214337417467</v>
      </c>
      <c r="F19" s="2"/>
      <c r="G19" s="14"/>
    </row>
    <row r="20" spans="1:7" ht="15">
      <c r="A20" s="9"/>
      <c r="B20" s="27" t="s">
        <v>27</v>
      </c>
      <c r="C20" s="27"/>
      <c r="D20" s="48">
        <f>D7+D9+D12+D15+D18+1</f>
        <v>4288.358024673163</v>
      </c>
      <c r="E20" s="12">
        <f>E7+E9+E12+E15+E18</f>
        <v>2.5393023126469814</v>
      </c>
      <c r="F20" s="6"/>
      <c r="G20" s="14"/>
    </row>
    <row r="21" spans="1:6" ht="15">
      <c r="A21" s="29"/>
      <c r="B21" s="30"/>
      <c r="C21" s="31"/>
      <c r="D21" s="32"/>
      <c r="E21" s="33"/>
      <c r="F21" s="2"/>
    </row>
    <row r="22" spans="1:6" ht="15">
      <c r="A22" s="34"/>
      <c r="B22" s="34"/>
      <c r="C22" s="34"/>
      <c r="D22" s="34"/>
      <c r="E22" s="34"/>
      <c r="F22" s="35"/>
    </row>
    <row r="23" spans="1:6" ht="105">
      <c r="A23" s="11" t="s">
        <v>28</v>
      </c>
      <c r="B23" s="11" t="s">
        <v>29</v>
      </c>
      <c r="C23" s="11" t="s">
        <v>30</v>
      </c>
      <c r="D23" s="73" t="s">
        <v>31</v>
      </c>
      <c r="E23" s="11" t="s">
        <v>32</v>
      </c>
      <c r="F23" s="11" t="s">
        <v>33</v>
      </c>
    </row>
    <row r="24" spans="1:6" ht="15">
      <c r="A24" s="11">
        <v>1</v>
      </c>
      <c r="B24" s="8" t="s">
        <v>34</v>
      </c>
      <c r="C24" s="11" t="s">
        <v>51</v>
      </c>
      <c r="D24" s="15">
        <v>3677</v>
      </c>
      <c r="E24" s="71">
        <f>D24/12/$D$2</f>
        <v>2.1778014688462455</v>
      </c>
      <c r="F24" s="38">
        <v>1</v>
      </c>
    </row>
    <row r="25" spans="1:6" ht="15">
      <c r="A25" s="11"/>
      <c r="B25" s="39" t="s">
        <v>36</v>
      </c>
      <c r="C25" s="10"/>
      <c r="D25" s="54">
        <f>SUM(D24:D24)</f>
        <v>3677</v>
      </c>
      <c r="E25" s="72">
        <f>SUM(E24:E24)</f>
        <v>2.1778014688462455</v>
      </c>
      <c r="F25" s="41"/>
    </row>
    <row r="26" spans="1:6" ht="15">
      <c r="A26" s="29"/>
      <c r="B26" s="30"/>
      <c r="C26" s="42"/>
      <c r="D26" s="42"/>
      <c r="E26" s="42"/>
      <c r="F26" s="42"/>
    </row>
    <row r="27" spans="1:6" ht="29.25">
      <c r="A27" s="29"/>
      <c r="B27" s="30" t="s">
        <v>37</v>
      </c>
      <c r="C27" s="43">
        <f>D20+D25</f>
        <v>7965.358024673163</v>
      </c>
      <c r="D27" s="43"/>
      <c r="E27" s="43"/>
      <c r="F27" s="42"/>
    </row>
    <row r="28" spans="1:6" ht="15">
      <c r="A28" s="29"/>
      <c r="B28" s="30" t="s">
        <v>38</v>
      </c>
      <c r="C28" s="44">
        <f>E20+E25</f>
        <v>4.717103781493227</v>
      </c>
      <c r="D28" s="42"/>
      <c r="E28" s="42"/>
      <c r="F28" s="42"/>
    </row>
    <row r="29" spans="1:6" ht="15">
      <c r="A29" s="2"/>
      <c r="B29" s="2"/>
      <c r="C29" s="2"/>
      <c r="D29" s="2"/>
      <c r="E29" s="2"/>
      <c r="F29" s="2"/>
    </row>
    <row r="30" spans="1:6" ht="33" customHeight="1">
      <c r="A30" s="138" t="s">
        <v>39</v>
      </c>
      <c r="B30" s="138"/>
      <c r="C30" s="138"/>
      <c r="D30" s="138"/>
      <c r="E30" s="138"/>
      <c r="F30" s="138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4</v>
      </c>
      <c r="C32" s="9" t="s">
        <v>5</v>
      </c>
      <c r="D32" s="9" t="s">
        <v>6</v>
      </c>
      <c r="E32" s="9" t="s">
        <v>7</v>
      </c>
      <c r="F32" s="2"/>
    </row>
    <row r="33" spans="1:5" ht="31.5" customHeight="1">
      <c r="A33" s="139" t="s">
        <v>40</v>
      </c>
      <c r="B33" s="139"/>
      <c r="C33" s="139"/>
      <c r="D33" s="12">
        <f>D34</f>
        <v>16.883999999999997</v>
      </c>
      <c r="E33" s="12">
        <f>E34</f>
        <v>0.01</v>
      </c>
    </row>
    <row r="34" spans="1:5" ht="30">
      <c r="A34" s="15">
        <v>1</v>
      </c>
      <c r="B34" s="45" t="s">
        <v>41</v>
      </c>
      <c r="C34" s="45" t="s">
        <v>42</v>
      </c>
      <c r="D34" s="17">
        <f>E34*12*$D$2</f>
        <v>16.883999999999997</v>
      </c>
      <c r="E34" s="46">
        <v>0.01</v>
      </c>
    </row>
    <row r="35" spans="1:5" ht="32.25" customHeight="1">
      <c r="A35" s="139" t="s">
        <v>43</v>
      </c>
      <c r="B35" s="139"/>
      <c r="C35" s="139"/>
      <c r="D35" s="12">
        <f>D36+D37</f>
        <v>135.07199999999997</v>
      </c>
      <c r="E35" s="12">
        <f>E36+E37</f>
        <v>0.08</v>
      </c>
    </row>
    <row r="36" spans="1:5" ht="44.25" customHeight="1">
      <c r="A36" s="15">
        <v>2</v>
      </c>
      <c r="B36" s="45" t="s">
        <v>44</v>
      </c>
      <c r="C36" s="45" t="s">
        <v>45</v>
      </c>
      <c r="D36" s="17">
        <f>E36*$D$2*12</f>
        <v>33.767999999999994</v>
      </c>
      <c r="E36" s="46">
        <v>0.02</v>
      </c>
    </row>
    <row r="37" spans="1:5" ht="15">
      <c r="A37" s="15">
        <v>3</v>
      </c>
      <c r="B37" s="47" t="s">
        <v>46</v>
      </c>
      <c r="C37" s="8" t="s">
        <v>42</v>
      </c>
      <c r="D37" s="17">
        <f>E37*$D$2*12</f>
        <v>101.30399999999997</v>
      </c>
      <c r="E37" s="18">
        <v>0.06</v>
      </c>
    </row>
    <row r="38" spans="1:6" ht="15">
      <c r="A38" s="9"/>
      <c r="B38" s="27" t="s">
        <v>27</v>
      </c>
      <c r="C38" s="27"/>
      <c r="D38" s="48">
        <f>D33+D35</f>
        <v>151.95599999999996</v>
      </c>
      <c r="E38" s="12">
        <f>E33+E35</f>
        <v>0.09</v>
      </c>
      <c r="F38" s="6"/>
    </row>
    <row r="39" spans="1:6" ht="15">
      <c r="A39" s="2"/>
      <c r="B39" s="2"/>
      <c r="C39" s="2"/>
      <c r="D39" s="2"/>
      <c r="E39" s="2"/>
      <c r="F39" s="2"/>
    </row>
    <row r="40" spans="1:6" ht="15">
      <c r="A40" s="34"/>
      <c r="B40" s="34"/>
      <c r="C40" s="34"/>
      <c r="D40" s="34"/>
      <c r="E40" s="34"/>
      <c r="F40" s="35"/>
    </row>
    <row r="41" spans="1:6" ht="105">
      <c r="A41" s="11" t="s">
        <v>28</v>
      </c>
      <c r="B41" s="11" t="s">
        <v>29</v>
      </c>
      <c r="C41" s="11" t="s">
        <v>30</v>
      </c>
      <c r="D41" s="11" t="s">
        <v>31</v>
      </c>
      <c r="E41" s="11" t="s">
        <v>47</v>
      </c>
      <c r="F41" s="11" t="s">
        <v>33</v>
      </c>
    </row>
    <row r="42" spans="1:6" ht="15">
      <c r="A42" s="11">
        <v>1</v>
      </c>
      <c r="B42" s="8" t="s">
        <v>34</v>
      </c>
      <c r="C42" s="11" t="s">
        <v>48</v>
      </c>
      <c r="D42" s="49">
        <v>1040</v>
      </c>
      <c r="E42" s="50">
        <f>D42/12/$D$2</f>
        <v>0.6159677801468847</v>
      </c>
      <c r="F42" s="38">
        <v>1</v>
      </c>
    </row>
    <row r="43" spans="1:6" ht="15">
      <c r="A43" s="51"/>
      <c r="B43" s="51" t="s">
        <v>36</v>
      </c>
      <c r="C43" s="51"/>
      <c r="D43" s="52">
        <f>SUM(D42:D42)</f>
        <v>1040</v>
      </c>
      <c r="E43" s="53">
        <f>SUM(E42:E42)</f>
        <v>0.6159677801468847</v>
      </c>
      <c r="F43" s="51"/>
    </row>
    <row r="46" spans="2:3" ht="29.25">
      <c r="B46" s="30" t="s">
        <v>52</v>
      </c>
      <c r="C46" s="55">
        <f>C27</f>
        <v>7965.358024673163</v>
      </c>
    </row>
  </sheetData>
  <mergeCells count="10">
    <mergeCell ref="A9:C9"/>
    <mergeCell ref="A15:C15"/>
    <mergeCell ref="A12:C12"/>
    <mergeCell ref="A1:E1"/>
    <mergeCell ref="A4:E4"/>
    <mergeCell ref="A7:C7"/>
    <mergeCell ref="A35:C35"/>
    <mergeCell ref="A18:C18"/>
    <mergeCell ref="A30:F30"/>
    <mergeCell ref="A33:C3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79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0</v>
      </c>
    </row>
    <row r="2" spans="1:6" ht="32.25" customHeight="1">
      <c r="A2" s="2"/>
      <c r="B2" s="1" t="s">
        <v>121</v>
      </c>
      <c r="C2" s="4"/>
      <c r="D2" s="5">
        <v>172.92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30.75" customHeight="1">
      <c r="A7" s="145" t="s">
        <v>8</v>
      </c>
      <c r="B7" s="146"/>
      <c r="C7" s="146"/>
      <c r="D7" s="12">
        <f>SUM(D8:D8)</f>
        <v>260.8636465766164</v>
      </c>
      <c r="E7" s="12">
        <f>SUM(E8:E8)</f>
        <v>0.12571499661530208</v>
      </c>
      <c r="F7" s="13"/>
    </row>
    <row r="8" spans="1:9" ht="15.75" customHeight="1">
      <c r="A8" s="15">
        <v>1</v>
      </c>
      <c r="B8" s="8" t="s">
        <v>9</v>
      </c>
      <c r="C8" s="16" t="s">
        <v>10</v>
      </c>
      <c r="D8" s="17">
        <f>E8*$D$2*12</f>
        <v>260.8636465766164</v>
      </c>
      <c r="E8" s="60">
        <v>0.12571499661530208</v>
      </c>
      <c r="F8" s="2"/>
      <c r="H8" s="61"/>
      <c r="I8" s="61"/>
    </row>
    <row r="9" spans="1:9" ht="15">
      <c r="A9" s="140" t="s">
        <v>11</v>
      </c>
      <c r="B9" s="141"/>
      <c r="C9" s="142"/>
      <c r="D9" s="12">
        <f>SUM(D10:D11)</f>
        <v>1184.2269458505789</v>
      </c>
      <c r="E9" s="12">
        <f>SUM(E10:E11)</f>
        <v>0.5707007796719961</v>
      </c>
      <c r="F9" s="19"/>
      <c r="H9" s="62"/>
      <c r="I9" s="56"/>
    </row>
    <row r="10" spans="1:6" ht="15.75" customHeight="1">
      <c r="A10" s="15">
        <v>2</v>
      </c>
      <c r="B10" s="8" t="s">
        <v>12</v>
      </c>
      <c r="C10" s="16" t="s">
        <v>13</v>
      </c>
      <c r="D10" s="17">
        <f>E10*$D$2*12</f>
        <v>1083.4647263042807</v>
      </c>
      <c r="E10" s="63">
        <v>0.5221416099469315</v>
      </c>
      <c r="F10" s="21"/>
    </row>
    <row r="11" spans="1:6" ht="30">
      <c r="A11" s="15">
        <v>3</v>
      </c>
      <c r="B11" s="22" t="s">
        <v>14</v>
      </c>
      <c r="C11" s="22" t="s">
        <v>15</v>
      </c>
      <c r="D11" s="17">
        <f>E11*$D$2*12</f>
        <v>100.7622195462981</v>
      </c>
      <c r="E11" s="63">
        <v>0.048559169725064626</v>
      </c>
      <c r="F11" s="21"/>
    </row>
    <row r="12" spans="1:6" ht="30" customHeight="1">
      <c r="A12" s="140" t="s">
        <v>16</v>
      </c>
      <c r="B12" s="143"/>
      <c r="C12" s="144"/>
      <c r="D12" s="23">
        <f>SUM(D13:D14)</f>
        <v>165.52975554132456</v>
      </c>
      <c r="E12" s="23">
        <f>SUM(E13:E14)</f>
        <v>0.07977183839411509</v>
      </c>
      <c r="F12" s="21"/>
    </row>
    <row r="13" spans="1:6" ht="30.75" customHeight="1">
      <c r="A13" s="15">
        <v>4</v>
      </c>
      <c r="B13" s="22" t="s">
        <v>17</v>
      </c>
      <c r="C13" s="22" t="s">
        <v>18</v>
      </c>
      <c r="D13" s="17">
        <f>E13*12*$D$2</f>
        <v>94.38045990249846</v>
      </c>
      <c r="E13" s="60">
        <v>0.04548368219528224</v>
      </c>
      <c r="F13" s="13"/>
    </row>
    <row r="14" spans="1:6" ht="60">
      <c r="A14" s="15">
        <v>5</v>
      </c>
      <c r="B14" s="22" t="s">
        <v>19</v>
      </c>
      <c r="C14" s="22" t="s">
        <v>18</v>
      </c>
      <c r="D14" s="17">
        <f>E14*12*$D$2</f>
        <v>71.14929563882609</v>
      </c>
      <c r="E14" s="17">
        <v>0.03428815619883284</v>
      </c>
      <c r="F14" s="2"/>
    </row>
    <row r="15" spans="1:9" ht="15">
      <c r="A15" s="145" t="s">
        <v>20</v>
      </c>
      <c r="B15" s="146"/>
      <c r="C15" s="146"/>
      <c r="D15" s="24">
        <f>SUM(D16:D17)</f>
        <v>444.06109287155283</v>
      </c>
      <c r="E15" s="24">
        <f>SUM(E16:E17)</f>
        <v>0.21400122063745894</v>
      </c>
      <c r="F15" s="2"/>
      <c r="H15" s="64"/>
      <c r="I15" s="56"/>
    </row>
    <row r="16" spans="1:10" ht="60">
      <c r="A16" s="15">
        <v>6</v>
      </c>
      <c r="B16" s="22" t="s">
        <v>86</v>
      </c>
      <c r="C16" s="22" t="s">
        <v>18</v>
      </c>
      <c r="D16" s="17">
        <f>E16*12*$D$2</f>
        <v>33.02245172478211</v>
      </c>
      <c r="E16" s="63">
        <v>0.01591412778779306</v>
      </c>
      <c r="F16" s="2"/>
      <c r="H16" s="64"/>
      <c r="I16" s="64"/>
      <c r="J16" s="65"/>
    </row>
    <row r="17" spans="1:10" ht="60">
      <c r="A17" s="15">
        <v>7</v>
      </c>
      <c r="B17" s="22" t="s">
        <v>22</v>
      </c>
      <c r="C17" s="22" t="s">
        <v>122</v>
      </c>
      <c r="D17" s="17">
        <f>E17*12*$D$2</f>
        <v>411.0386411467707</v>
      </c>
      <c r="E17" s="63">
        <v>0.19808709284966589</v>
      </c>
      <c r="F17" s="2"/>
      <c r="H17" s="64"/>
      <c r="I17" s="64"/>
      <c r="J17" s="65"/>
    </row>
    <row r="18" spans="1:6" ht="15">
      <c r="A18" s="145" t="s">
        <v>24</v>
      </c>
      <c r="B18" s="145"/>
      <c r="C18" s="145"/>
      <c r="D18" s="25">
        <f>SUM(D19)</f>
        <v>189.31699814069066</v>
      </c>
      <c r="E18" s="23">
        <f>SUM(E19)</f>
        <v>0.09123534878397076</v>
      </c>
      <c r="F18" s="2"/>
    </row>
    <row r="19" spans="1:6" ht="15">
      <c r="A19" s="15">
        <v>8</v>
      </c>
      <c r="B19" s="22" t="s">
        <v>25</v>
      </c>
      <c r="C19" s="22" t="s">
        <v>26</v>
      </c>
      <c r="D19" s="17">
        <f>E19*12*$D$2</f>
        <v>189.31699814069066</v>
      </c>
      <c r="E19" s="63">
        <v>0.09123534878397076</v>
      </c>
      <c r="F19" s="2"/>
    </row>
    <row r="20" spans="1:6" ht="15">
      <c r="A20" s="9"/>
      <c r="B20" s="27" t="s">
        <v>27</v>
      </c>
      <c r="C20" s="27"/>
      <c r="D20" s="48">
        <f>D7+D9+D12+D15+D18</f>
        <v>2243.9984389807632</v>
      </c>
      <c r="E20" s="12">
        <f>E7+E9+E12+E15+E18</f>
        <v>1.081424184102843</v>
      </c>
      <c r="F20" s="6"/>
    </row>
    <row r="21" spans="1:6" ht="15">
      <c r="A21" s="29"/>
      <c r="B21" s="30"/>
      <c r="C21" s="31"/>
      <c r="D21" s="32"/>
      <c r="E21" s="33"/>
      <c r="F21" s="2"/>
    </row>
    <row r="22" spans="1:6" ht="15">
      <c r="A22" s="30"/>
      <c r="B22" s="30"/>
      <c r="C22" s="30"/>
      <c r="D22" s="30"/>
      <c r="E22" s="30"/>
      <c r="F22" s="29"/>
    </row>
    <row r="23" spans="1:6" ht="105">
      <c r="A23" s="11" t="s">
        <v>28</v>
      </c>
      <c r="B23" s="11" t="s">
        <v>29</v>
      </c>
      <c r="C23" s="11" t="s">
        <v>30</v>
      </c>
      <c r="D23" s="11" t="s">
        <v>31</v>
      </c>
      <c r="E23" s="11" t="s">
        <v>32</v>
      </c>
      <c r="F23" s="11" t="s">
        <v>33</v>
      </c>
    </row>
    <row r="24" spans="1:6" ht="15">
      <c r="A24" s="11">
        <v>1</v>
      </c>
      <c r="B24" s="8" t="s">
        <v>123</v>
      </c>
      <c r="C24" s="11" t="s">
        <v>35</v>
      </c>
      <c r="D24" s="11">
        <v>4519.9</v>
      </c>
      <c r="E24" s="37">
        <f>D24/12/$D$2</f>
        <v>2.178223070398643</v>
      </c>
      <c r="F24" s="38">
        <v>2</v>
      </c>
    </row>
    <row r="25" spans="1:6" ht="15">
      <c r="A25" s="11"/>
      <c r="B25" s="39" t="s">
        <v>36</v>
      </c>
      <c r="C25" s="10"/>
      <c r="D25" s="54">
        <f>SUM(D24:D24)</f>
        <v>4519.9</v>
      </c>
      <c r="E25" s="40">
        <f>SUM(E24:E24)</f>
        <v>2.178223070398643</v>
      </c>
      <c r="F25" s="41"/>
    </row>
    <row r="26" spans="1:6" ht="15">
      <c r="A26" s="29"/>
      <c r="B26" s="30"/>
      <c r="C26" s="42"/>
      <c r="D26" s="42"/>
      <c r="E26" s="42"/>
      <c r="F26" s="42"/>
    </row>
    <row r="27" spans="1:6" ht="29.25">
      <c r="A27" s="29"/>
      <c r="B27" s="30" t="s">
        <v>37</v>
      </c>
      <c r="C27" s="43">
        <f>D20+D25</f>
        <v>6763.898438980763</v>
      </c>
      <c r="D27" s="43"/>
      <c r="E27" s="43"/>
      <c r="F27" s="42"/>
    </row>
    <row r="28" spans="1:6" ht="15">
      <c r="A28" s="29"/>
      <c r="B28" s="30" t="s">
        <v>38</v>
      </c>
      <c r="C28" s="44">
        <f>E20+E25</f>
        <v>3.259647254501486</v>
      </c>
      <c r="D28" s="42"/>
      <c r="E28" s="42"/>
      <c r="F28" s="42"/>
    </row>
    <row r="29" spans="1:6" ht="15">
      <c r="A29" s="29"/>
      <c r="B29" s="30"/>
      <c r="C29" s="44"/>
      <c r="D29" s="42"/>
      <c r="E29" s="42"/>
      <c r="F29" s="42"/>
    </row>
    <row r="30" spans="1:6" ht="33" customHeight="1">
      <c r="A30" s="138" t="s">
        <v>39</v>
      </c>
      <c r="B30" s="138"/>
      <c r="C30" s="138"/>
      <c r="D30" s="138"/>
      <c r="E30" s="138"/>
      <c r="F30" s="138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4</v>
      </c>
      <c r="C32" s="9" t="s">
        <v>5</v>
      </c>
      <c r="D32" s="9" t="s">
        <v>6</v>
      </c>
      <c r="E32" s="9" t="s">
        <v>7</v>
      </c>
      <c r="F32" s="2"/>
    </row>
    <row r="33" spans="1:5" ht="32.25" customHeight="1">
      <c r="A33" s="139" t="s">
        <v>40</v>
      </c>
      <c r="B33" s="139"/>
      <c r="C33" s="139"/>
      <c r="D33" s="12">
        <f>D34</f>
        <v>20.7504</v>
      </c>
      <c r="E33" s="12">
        <f>E34</f>
        <v>0.01</v>
      </c>
    </row>
    <row r="34" spans="1:5" ht="30">
      <c r="A34" s="15">
        <v>1</v>
      </c>
      <c r="B34" s="45" t="s">
        <v>41</v>
      </c>
      <c r="C34" s="45" t="s">
        <v>42</v>
      </c>
      <c r="D34" s="17">
        <f>E34*12*$D$2</f>
        <v>20.7504</v>
      </c>
      <c r="E34" s="46">
        <v>0.01</v>
      </c>
    </row>
    <row r="35" spans="1:5" ht="32.25" customHeight="1">
      <c r="A35" s="139" t="s">
        <v>43</v>
      </c>
      <c r="B35" s="139"/>
      <c r="C35" s="139"/>
      <c r="D35" s="12">
        <f>D36+D37</f>
        <v>166.0032</v>
      </c>
      <c r="E35" s="12">
        <f>E36+E37</f>
        <v>0.08</v>
      </c>
    </row>
    <row r="36" spans="1:5" ht="28.5" customHeight="1">
      <c r="A36" s="15">
        <v>2</v>
      </c>
      <c r="B36" s="45" t="s">
        <v>44</v>
      </c>
      <c r="C36" s="45" t="s">
        <v>45</v>
      </c>
      <c r="D36" s="17">
        <f>E36*$D$2*12</f>
        <v>41.5008</v>
      </c>
      <c r="E36" s="46">
        <v>0.02</v>
      </c>
    </row>
    <row r="37" spans="1:5" ht="15">
      <c r="A37" s="15">
        <v>3</v>
      </c>
      <c r="B37" s="47" t="s">
        <v>46</v>
      </c>
      <c r="C37" s="8" t="s">
        <v>42</v>
      </c>
      <c r="D37" s="17">
        <f>E37*$D$2*12</f>
        <v>124.5024</v>
      </c>
      <c r="E37" s="18">
        <v>0.06</v>
      </c>
    </row>
    <row r="38" spans="1:6" ht="15">
      <c r="A38" s="9"/>
      <c r="B38" s="27" t="s">
        <v>27</v>
      </c>
      <c r="C38" s="27"/>
      <c r="D38" s="48">
        <f>D33+D35</f>
        <v>186.7536</v>
      </c>
      <c r="E38" s="12">
        <f>E33+E35</f>
        <v>0.09</v>
      </c>
      <c r="F38" s="6"/>
    </row>
    <row r="39" spans="1:6" ht="15">
      <c r="A39" s="2"/>
      <c r="B39" s="2"/>
      <c r="C39" s="2"/>
      <c r="D39" s="2"/>
      <c r="E39" s="2"/>
      <c r="F39" s="2"/>
    </row>
    <row r="40" spans="1:6" ht="15">
      <c r="A40" s="34"/>
      <c r="B40" s="34"/>
      <c r="C40" s="34"/>
      <c r="D40" s="34"/>
      <c r="E40" s="34"/>
      <c r="F40" s="35"/>
    </row>
    <row r="41" spans="1:6" ht="105">
      <c r="A41" s="11" t="s">
        <v>28</v>
      </c>
      <c r="B41" s="11" t="s">
        <v>29</v>
      </c>
      <c r="C41" s="11" t="s">
        <v>30</v>
      </c>
      <c r="D41" s="11" t="s">
        <v>31</v>
      </c>
      <c r="E41" s="11" t="s">
        <v>47</v>
      </c>
      <c r="F41" s="11" t="s">
        <v>33</v>
      </c>
    </row>
    <row r="42" spans="1:6" ht="15">
      <c r="A42" s="11">
        <v>1</v>
      </c>
      <c r="B42" s="8" t="s">
        <v>123</v>
      </c>
      <c r="C42" s="11" t="s">
        <v>124</v>
      </c>
      <c r="D42" s="36">
        <v>1098.6</v>
      </c>
      <c r="E42" s="50">
        <f>D42/12/$D$2</f>
        <v>0.5294355771455008</v>
      </c>
      <c r="F42" s="38">
        <v>2</v>
      </c>
    </row>
    <row r="43" spans="1:6" ht="15">
      <c r="A43" s="51"/>
      <c r="B43" s="51" t="s">
        <v>36</v>
      </c>
      <c r="C43" s="51"/>
      <c r="D43" s="52">
        <f>SUM(D42:D42)</f>
        <v>1098.6</v>
      </c>
      <c r="E43" s="53">
        <f>SUM(E42:E42)</f>
        <v>0.5294355771455008</v>
      </c>
      <c r="F43" s="51"/>
    </row>
    <row r="46" spans="1:6" ht="39" customHeight="1">
      <c r="A46" s="2"/>
      <c r="B46" s="1" t="s">
        <v>1</v>
      </c>
      <c r="C46" s="4"/>
      <c r="D46" s="5">
        <v>208.8</v>
      </c>
      <c r="E46" s="6" t="s">
        <v>2</v>
      </c>
      <c r="F46" s="2"/>
    </row>
    <row r="47" spans="1:6" ht="15">
      <c r="A47" s="2"/>
      <c r="B47" s="7"/>
      <c r="C47" s="2"/>
      <c r="D47" s="2"/>
      <c r="E47" s="2"/>
      <c r="F47" s="2"/>
    </row>
    <row r="48" spans="1:6" ht="30.75" customHeight="1">
      <c r="A48" s="138" t="s">
        <v>3</v>
      </c>
      <c r="B48" s="138"/>
      <c r="C48" s="138"/>
      <c r="D48" s="138"/>
      <c r="E48" s="138"/>
      <c r="F48" s="2"/>
    </row>
    <row r="49" spans="1:6" ht="15">
      <c r="A49" s="1"/>
      <c r="B49" s="1"/>
      <c r="C49" s="1"/>
      <c r="D49" s="1"/>
      <c r="E49" s="1"/>
      <c r="F49" s="2"/>
    </row>
    <row r="50" spans="1:6" ht="71.25">
      <c r="A50" s="8"/>
      <c r="B50" s="9" t="s">
        <v>4</v>
      </c>
      <c r="C50" s="9" t="s">
        <v>5</v>
      </c>
      <c r="D50" s="9" t="s">
        <v>6</v>
      </c>
      <c r="E50" s="9" t="s">
        <v>7</v>
      </c>
      <c r="F50" s="2"/>
    </row>
    <row r="51" spans="1:7" ht="30.75" customHeight="1">
      <c r="A51" s="145" t="s">
        <v>8</v>
      </c>
      <c r="B51" s="146"/>
      <c r="C51" s="146"/>
      <c r="D51" s="12">
        <f>D52</f>
        <v>260.8636465766164</v>
      </c>
      <c r="E51" s="12">
        <f>E52</f>
        <v>0.10411224719692545</v>
      </c>
      <c r="F51" s="13"/>
      <c r="G51" s="14"/>
    </row>
    <row r="52" spans="1:7" ht="15">
      <c r="A52" s="15">
        <v>1</v>
      </c>
      <c r="B52" s="8" t="s">
        <v>9</v>
      </c>
      <c r="C52" s="16" t="s">
        <v>10</v>
      </c>
      <c r="D52" s="17">
        <f>E52*$D$46*12</f>
        <v>260.8636465766164</v>
      </c>
      <c r="E52" s="18">
        <v>0.10411224719692545</v>
      </c>
      <c r="F52" s="2"/>
      <c r="G52" s="14"/>
    </row>
    <row r="53" spans="1:7" ht="15">
      <c r="A53" s="140" t="s">
        <v>11</v>
      </c>
      <c r="B53" s="141"/>
      <c r="C53" s="142"/>
      <c r="D53" s="12">
        <f>SUM(D54:D55)</f>
        <v>1628.3120505445447</v>
      </c>
      <c r="E53" s="12">
        <f>SUM(E54:E55)</f>
        <v>0.6498691134037933</v>
      </c>
      <c r="F53" s="19"/>
      <c r="G53" s="14"/>
    </row>
    <row r="54" spans="1:7" ht="15.75" customHeight="1">
      <c r="A54" s="15">
        <v>2</v>
      </c>
      <c r="B54" s="8" t="s">
        <v>12</v>
      </c>
      <c r="C54" s="16" t="s">
        <v>13</v>
      </c>
      <c r="D54" s="17">
        <f>E54*$D$46*12</f>
        <v>1489.7639986683848</v>
      </c>
      <c r="E54" s="20">
        <v>0.5945737542578163</v>
      </c>
      <c r="F54" s="21"/>
      <c r="G54" s="14"/>
    </row>
    <row r="55" spans="1:7" ht="30">
      <c r="A55" s="15">
        <v>3</v>
      </c>
      <c r="B55" s="22" t="s">
        <v>14</v>
      </c>
      <c r="C55" s="22" t="s">
        <v>15</v>
      </c>
      <c r="D55" s="17">
        <f>E55*$D$46*12</f>
        <v>138.54805187615986</v>
      </c>
      <c r="E55" s="17">
        <v>0.055295359145976955</v>
      </c>
      <c r="F55" s="21"/>
      <c r="G55" s="14"/>
    </row>
    <row r="56" spans="1:7" ht="15">
      <c r="A56" s="140" t="s">
        <v>16</v>
      </c>
      <c r="B56" s="143"/>
      <c r="C56" s="144"/>
      <c r="D56" s="23">
        <f>SUM(D57:D58)</f>
        <v>212.4919277345104</v>
      </c>
      <c r="E56" s="23">
        <f>SUM(E57:E58)</f>
        <v>0.08480680385317305</v>
      </c>
      <c r="F56" s="21"/>
      <c r="G56" s="14"/>
    </row>
    <row r="57" spans="1:7" ht="15.75" customHeight="1">
      <c r="A57" s="15">
        <v>4</v>
      </c>
      <c r="B57" s="22" t="s">
        <v>17</v>
      </c>
      <c r="C57" s="22" t="s">
        <v>18</v>
      </c>
      <c r="D57" s="17">
        <f>E57*12*$D$46</f>
        <v>94.38045990249842</v>
      </c>
      <c r="E57" s="18">
        <v>0.0376678080709205</v>
      </c>
      <c r="F57" s="13"/>
      <c r="G57" s="14"/>
    </row>
    <row r="58" spans="1:7" ht="60">
      <c r="A58" s="15">
        <v>5</v>
      </c>
      <c r="B58" s="22" t="s">
        <v>19</v>
      </c>
      <c r="C58" s="22" t="s">
        <v>18</v>
      </c>
      <c r="D58" s="17">
        <f>E58*12*$D$46</f>
        <v>118.111467832012</v>
      </c>
      <c r="E58" s="17">
        <v>0.04713899578225255</v>
      </c>
      <c r="F58" s="2"/>
      <c r="G58" s="14"/>
    </row>
    <row r="59" spans="1:7" ht="15">
      <c r="A59" s="145" t="s">
        <v>20</v>
      </c>
      <c r="B59" s="146"/>
      <c r="C59" s="146"/>
      <c r="D59" s="24">
        <f>SUM(D60:D61)</f>
        <v>4389.398745615772</v>
      </c>
      <c r="E59" s="24">
        <f>SUM(E60:E61)</f>
        <v>1.7518353869794745</v>
      </c>
      <c r="F59" s="2"/>
      <c r="G59" s="14"/>
    </row>
    <row r="60" spans="1:7" ht="60">
      <c r="A60" s="15">
        <v>6</v>
      </c>
      <c r="B60" s="22" t="s">
        <v>21</v>
      </c>
      <c r="C60" s="22" t="s">
        <v>18</v>
      </c>
      <c r="D60" s="17">
        <f>E60*12*$D$46</f>
        <v>282.25929427975257</v>
      </c>
      <c r="E60" s="17">
        <v>0.11265137862378373</v>
      </c>
      <c r="F60" s="2"/>
      <c r="G60" s="14"/>
    </row>
    <row r="61" spans="1:7" ht="75">
      <c r="A61" s="15">
        <v>7</v>
      </c>
      <c r="B61" s="22" t="s">
        <v>22</v>
      </c>
      <c r="C61" s="22" t="s">
        <v>23</v>
      </c>
      <c r="D61" s="17">
        <f>E61*12*$D$46</f>
        <v>4107.139451336019</v>
      </c>
      <c r="E61" s="20">
        <v>1.6391840083556908</v>
      </c>
      <c r="F61" s="2"/>
      <c r="G61" s="14"/>
    </row>
    <row r="62" spans="1:7" ht="15">
      <c r="A62" s="145" t="s">
        <v>24</v>
      </c>
      <c r="B62" s="145"/>
      <c r="C62" s="145"/>
      <c r="D62" s="25">
        <f>SUM(D63)</f>
        <v>477.6040064164588</v>
      </c>
      <c r="E62" s="25">
        <f>SUM(E63)</f>
        <v>0.19061462580478078</v>
      </c>
      <c r="F62" s="2"/>
      <c r="G62" s="14"/>
    </row>
    <row r="63" spans="1:7" ht="15">
      <c r="A63" s="15">
        <v>8</v>
      </c>
      <c r="B63" s="22" t="s">
        <v>25</v>
      </c>
      <c r="C63" s="22" t="s">
        <v>26</v>
      </c>
      <c r="D63" s="17">
        <f>E63*12*$D$46</f>
        <v>477.6040064164588</v>
      </c>
      <c r="E63" s="26">
        <v>0.19061462580478078</v>
      </c>
      <c r="F63" s="2"/>
      <c r="G63" s="14"/>
    </row>
    <row r="64" spans="1:7" ht="15">
      <c r="A64" s="9"/>
      <c r="B64" s="27" t="s">
        <v>27</v>
      </c>
      <c r="C64" s="27"/>
      <c r="D64" s="76">
        <f>D51+D53+D56+D59+D62</f>
        <v>6968.670376887902</v>
      </c>
      <c r="E64" s="12">
        <f>E51+E53+E56+E59+E62</f>
        <v>2.7812381772381474</v>
      </c>
      <c r="F64" s="6"/>
      <c r="G64" s="14"/>
    </row>
    <row r="65" spans="1:6" ht="15">
      <c r="A65" s="29"/>
      <c r="B65" s="30"/>
      <c r="C65" s="31"/>
      <c r="D65" s="32"/>
      <c r="E65" s="33"/>
      <c r="F65" s="2"/>
    </row>
    <row r="66" spans="1:6" ht="15">
      <c r="A66" s="34"/>
      <c r="B66" s="34"/>
      <c r="C66" s="34"/>
      <c r="D66" s="34"/>
      <c r="E66" s="34"/>
      <c r="F66" s="35"/>
    </row>
    <row r="67" spans="1:6" ht="105">
      <c r="A67" s="11" t="s">
        <v>28</v>
      </c>
      <c r="B67" s="11" t="s">
        <v>29</v>
      </c>
      <c r="C67" s="11" t="s">
        <v>30</v>
      </c>
      <c r="D67" s="11" t="s">
        <v>31</v>
      </c>
      <c r="E67" s="11" t="s">
        <v>32</v>
      </c>
      <c r="F67" s="11" t="s">
        <v>33</v>
      </c>
    </row>
    <row r="68" spans="1:6" ht="15">
      <c r="A68" s="11">
        <v>1</v>
      </c>
      <c r="B68" s="8" t="s">
        <v>34</v>
      </c>
      <c r="C68" s="11" t="s">
        <v>35</v>
      </c>
      <c r="D68" s="36">
        <v>5457</v>
      </c>
      <c r="E68" s="37">
        <f>D68/12/$D$46</f>
        <v>2.177921455938697</v>
      </c>
      <c r="F68" s="38">
        <v>1</v>
      </c>
    </row>
    <row r="69" spans="1:6" ht="15">
      <c r="A69" s="11"/>
      <c r="B69" s="39" t="s">
        <v>36</v>
      </c>
      <c r="C69" s="10"/>
      <c r="D69" s="54">
        <f>SUM(D68:D68)</f>
        <v>5457</v>
      </c>
      <c r="E69" s="40">
        <f>SUM(E68:E68)</f>
        <v>2.177921455938697</v>
      </c>
      <c r="F69" s="41"/>
    </row>
    <row r="70" spans="1:6" ht="15">
      <c r="A70" s="42"/>
      <c r="B70" s="66"/>
      <c r="C70" s="67"/>
      <c r="D70" s="68"/>
      <c r="E70" s="69"/>
      <c r="F70" s="70"/>
    </row>
    <row r="71" spans="1:6" ht="15">
      <c r="A71" s="29"/>
      <c r="B71" s="30"/>
      <c r="C71" s="42"/>
      <c r="D71" s="42"/>
      <c r="E71" s="42"/>
      <c r="F71" s="42"/>
    </row>
    <row r="72" spans="1:6" ht="29.25">
      <c r="A72" s="29"/>
      <c r="B72" s="30" t="s">
        <v>37</v>
      </c>
      <c r="C72" s="43">
        <f>D64+D69</f>
        <v>12425.670376887902</v>
      </c>
      <c r="D72" s="43"/>
      <c r="E72" s="43"/>
      <c r="F72" s="42"/>
    </row>
    <row r="73" spans="1:6" ht="15">
      <c r="A73" s="29"/>
      <c r="B73" s="30" t="s">
        <v>38</v>
      </c>
      <c r="C73" s="44">
        <f>E64+E69</f>
        <v>4.959159633176844</v>
      </c>
      <c r="D73" s="42"/>
      <c r="E73" s="42"/>
      <c r="F73" s="42"/>
    </row>
    <row r="74" spans="1:6" ht="15">
      <c r="A74" s="29"/>
      <c r="B74" s="30"/>
      <c r="C74" s="44"/>
      <c r="D74" s="42"/>
      <c r="E74" s="42"/>
      <c r="F74" s="42"/>
    </row>
    <row r="75" spans="1:6" ht="15">
      <c r="A75" s="2"/>
      <c r="B75" s="2"/>
      <c r="C75" s="2"/>
      <c r="D75" s="2"/>
      <c r="E75" s="2"/>
      <c r="F75" s="2"/>
    </row>
    <row r="76" spans="1:6" ht="33" customHeight="1">
      <c r="A76" s="138" t="s">
        <v>39</v>
      </c>
      <c r="B76" s="138"/>
      <c r="C76" s="138"/>
      <c r="D76" s="138"/>
      <c r="E76" s="138"/>
      <c r="F76" s="138"/>
    </row>
    <row r="77" spans="1:6" ht="15">
      <c r="A77" s="1"/>
      <c r="B77" s="1"/>
      <c r="C77" s="1"/>
      <c r="D77" s="2"/>
      <c r="E77" s="2"/>
      <c r="F77" s="2"/>
    </row>
    <row r="78" spans="1:6" ht="71.25">
      <c r="A78" s="8"/>
      <c r="B78" s="9" t="s">
        <v>4</v>
      </c>
      <c r="C78" s="9" t="s">
        <v>5</v>
      </c>
      <c r="D78" s="9" t="s">
        <v>6</v>
      </c>
      <c r="E78" s="9" t="s">
        <v>7</v>
      </c>
      <c r="F78" s="2"/>
    </row>
    <row r="79" spans="1:5" ht="31.5" customHeight="1">
      <c r="A79" s="139" t="s">
        <v>40</v>
      </c>
      <c r="B79" s="139"/>
      <c r="C79" s="139"/>
      <c r="D79" s="12">
        <f>D80</f>
        <v>25.056</v>
      </c>
      <c r="E79" s="12">
        <f>E80</f>
        <v>0.01</v>
      </c>
    </row>
    <row r="80" spans="1:5" ht="30">
      <c r="A80" s="15">
        <v>1</v>
      </c>
      <c r="B80" s="45" t="s">
        <v>41</v>
      </c>
      <c r="C80" s="45" t="s">
        <v>42</v>
      </c>
      <c r="D80" s="17">
        <f>E80*12*$D$46</f>
        <v>25.056</v>
      </c>
      <c r="E80" s="46">
        <v>0.01</v>
      </c>
    </row>
    <row r="81" spans="1:5" ht="32.25" customHeight="1">
      <c r="A81" s="139" t="s">
        <v>43</v>
      </c>
      <c r="B81" s="139"/>
      <c r="C81" s="139"/>
      <c r="D81" s="12">
        <f>D82+D83</f>
        <v>200.448</v>
      </c>
      <c r="E81" s="12">
        <f>E82+E83</f>
        <v>0.08</v>
      </c>
    </row>
    <row r="82" spans="1:5" ht="28.5" customHeight="1">
      <c r="A82" s="15">
        <v>2</v>
      </c>
      <c r="B82" s="45" t="s">
        <v>44</v>
      </c>
      <c r="C82" s="45" t="s">
        <v>45</v>
      </c>
      <c r="D82" s="17">
        <f>E82*$D$46*12</f>
        <v>50.112</v>
      </c>
      <c r="E82" s="46">
        <v>0.02</v>
      </c>
    </row>
    <row r="83" spans="1:5" ht="15">
      <c r="A83" s="15">
        <v>3</v>
      </c>
      <c r="B83" s="47" t="s">
        <v>46</v>
      </c>
      <c r="C83" s="8" t="s">
        <v>42</v>
      </c>
      <c r="D83" s="17">
        <f>E83*$D$46*12</f>
        <v>150.336</v>
      </c>
      <c r="E83" s="18">
        <v>0.06</v>
      </c>
    </row>
    <row r="84" spans="1:6" ht="15">
      <c r="A84" s="9"/>
      <c r="B84" s="27" t="s">
        <v>27</v>
      </c>
      <c r="C84" s="27"/>
      <c r="D84" s="48">
        <f>D79+D81</f>
        <v>225.50400000000002</v>
      </c>
      <c r="E84" s="12">
        <f>E79+E81</f>
        <v>0.09</v>
      </c>
      <c r="F84" s="6"/>
    </row>
    <row r="85" spans="1:6" ht="15">
      <c r="A85" s="2"/>
      <c r="B85" s="2"/>
      <c r="C85" s="2"/>
      <c r="D85" s="2"/>
      <c r="E85" s="2"/>
      <c r="F85" s="2"/>
    </row>
    <row r="86" spans="1:6" ht="15">
      <c r="A86" s="34"/>
      <c r="B86" s="34"/>
      <c r="C86" s="34"/>
      <c r="D86" s="34"/>
      <c r="E86" s="34"/>
      <c r="F86" s="35"/>
    </row>
    <row r="87" spans="1:6" ht="105">
      <c r="A87" s="11" t="s">
        <v>28</v>
      </c>
      <c r="B87" s="11" t="s">
        <v>29</v>
      </c>
      <c r="C87" s="11" t="s">
        <v>30</v>
      </c>
      <c r="D87" s="11" t="s">
        <v>31</v>
      </c>
      <c r="E87" s="11" t="s">
        <v>47</v>
      </c>
      <c r="F87" s="11" t="s">
        <v>33</v>
      </c>
    </row>
    <row r="88" spans="1:6" ht="15">
      <c r="A88" s="11">
        <v>1</v>
      </c>
      <c r="B88" s="8" t="s">
        <v>34</v>
      </c>
      <c r="C88" s="11" t="s">
        <v>48</v>
      </c>
      <c r="D88" s="49">
        <v>909.5</v>
      </c>
      <c r="E88" s="50">
        <f>D88/12/$D$46</f>
        <v>0.3629869093231162</v>
      </c>
      <c r="F88" s="38">
        <v>1</v>
      </c>
    </row>
    <row r="89" spans="1:6" ht="15">
      <c r="A89" s="51"/>
      <c r="B89" s="51" t="s">
        <v>36</v>
      </c>
      <c r="C89" s="51"/>
      <c r="D89" s="52">
        <f>SUM(D88:D88)</f>
        <v>909.5</v>
      </c>
      <c r="E89" s="53">
        <f>SUM(E88:E88)</f>
        <v>0.3629869093231162</v>
      </c>
      <c r="F89" s="51"/>
    </row>
    <row r="92" spans="2:3" ht="29.25">
      <c r="B92" s="30" t="s">
        <v>125</v>
      </c>
      <c r="C92" s="55">
        <f>C27+C72</f>
        <v>19189.568815868664</v>
      </c>
    </row>
  </sheetData>
  <mergeCells count="18">
    <mergeCell ref="A33:C33"/>
    <mergeCell ref="A35:C35"/>
    <mergeCell ref="A15:C15"/>
    <mergeCell ref="A18:C18"/>
    <mergeCell ref="A30:F30"/>
    <mergeCell ref="A4:E4"/>
    <mergeCell ref="A7:C7"/>
    <mergeCell ref="A9:C9"/>
    <mergeCell ref="A12:C12"/>
    <mergeCell ref="A53:C53"/>
    <mergeCell ref="A59:C59"/>
    <mergeCell ref="A56:C56"/>
    <mergeCell ref="A48:E48"/>
    <mergeCell ref="A51:C51"/>
    <mergeCell ref="A81:C81"/>
    <mergeCell ref="A62:C62"/>
    <mergeCell ref="A76:F76"/>
    <mergeCell ref="A79:C79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8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318</v>
      </c>
    </row>
    <row r="2" spans="1:6" ht="39" customHeight="1">
      <c r="A2" s="2"/>
      <c r="B2" s="1" t="s">
        <v>319</v>
      </c>
      <c r="C2" s="4"/>
      <c r="D2" s="5">
        <v>98.89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601.1810020945646</v>
      </c>
      <c r="E7" s="12">
        <f>SUM(E8:E9)</f>
        <v>0.50660751179304</v>
      </c>
      <c r="F7" s="19"/>
      <c r="G7" s="14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550.0283642219255</v>
      </c>
      <c r="E8" s="20">
        <f>0.463501840615773</f>
        <v>0.463501840615773</v>
      </c>
      <c r="F8" s="21"/>
      <c r="G8" s="14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51.15263787263914</v>
      </c>
      <c r="E9" s="17">
        <v>0.04310567117726694</v>
      </c>
      <c r="F9" s="21"/>
      <c r="G9" s="14"/>
    </row>
    <row r="10" spans="1:7" ht="15">
      <c r="A10" s="140" t="s">
        <v>64</v>
      </c>
      <c r="B10" s="143"/>
      <c r="C10" s="144"/>
      <c r="D10" s="23">
        <f>SUM(D11:D12)</f>
        <v>104.91833779173862</v>
      </c>
      <c r="E10" s="23">
        <f>SUM(E11:E12)</f>
        <v>0.08841333619150792</v>
      </c>
      <c r="F10" s="21"/>
      <c r="G10" s="14"/>
    </row>
    <row r="11" spans="1:7" ht="18.75" customHeight="1">
      <c r="A11" s="15">
        <v>3</v>
      </c>
      <c r="B11" s="22" t="s">
        <v>17</v>
      </c>
      <c r="C11" s="22" t="s">
        <v>18</v>
      </c>
      <c r="D11" s="17">
        <f>E11*12*$D$2</f>
        <v>47.19022995124923</v>
      </c>
      <c r="E11" s="17">
        <v>0.03976660089598647</v>
      </c>
      <c r="F11" s="13"/>
      <c r="G11" s="14"/>
    </row>
    <row r="12" spans="1:7" ht="60">
      <c r="A12" s="15">
        <v>4</v>
      </c>
      <c r="B12" s="22" t="s">
        <v>19</v>
      </c>
      <c r="C12" s="22" t="s">
        <v>18</v>
      </c>
      <c r="D12" s="17">
        <f>E12*12*$D$2</f>
        <v>57.72810784048939</v>
      </c>
      <c r="E12" s="17">
        <v>0.048646735295521444</v>
      </c>
      <c r="F12" s="2"/>
      <c r="G12" s="14"/>
    </row>
    <row r="13" spans="1:7" ht="15">
      <c r="A13" s="145" t="s">
        <v>67</v>
      </c>
      <c r="B13" s="146"/>
      <c r="C13" s="146"/>
      <c r="D13" s="24">
        <f>SUM(D14:D15)</f>
        <v>396.4940370057839</v>
      </c>
      <c r="E13" s="24">
        <f>SUM(E14:E15)</f>
        <v>0.3341204343258367</v>
      </c>
      <c r="F13" s="2"/>
      <c r="G13" s="14"/>
    </row>
    <row r="14" spans="1:7" ht="60">
      <c r="A14" s="15">
        <v>5</v>
      </c>
      <c r="B14" s="22" t="s">
        <v>86</v>
      </c>
      <c r="C14" s="22" t="s">
        <v>18</v>
      </c>
      <c r="D14" s="17">
        <f>E14*12*$D$2</f>
        <v>16.063368546622023</v>
      </c>
      <c r="E14" s="17">
        <v>0.013536394433732786</v>
      </c>
      <c r="F14" s="2"/>
      <c r="G14" s="14"/>
    </row>
    <row r="15" spans="1:7" ht="60">
      <c r="A15" s="15">
        <v>6</v>
      </c>
      <c r="B15" s="22" t="s">
        <v>22</v>
      </c>
      <c r="C15" s="22" t="s">
        <v>87</v>
      </c>
      <c r="D15" s="17">
        <f>E15*12*$D$2</f>
        <v>380.4306684591619</v>
      </c>
      <c r="E15" s="17">
        <v>0.32058403989210393</v>
      </c>
      <c r="F15" s="2"/>
      <c r="G15" s="14"/>
    </row>
    <row r="16" spans="1:7" ht="15">
      <c r="A16" s="145" t="s">
        <v>70</v>
      </c>
      <c r="B16" s="145"/>
      <c r="C16" s="145"/>
      <c r="D16" s="25">
        <f>SUM(D17)</f>
        <v>255.84820799999997</v>
      </c>
      <c r="E16" s="25">
        <f>SUM(E17)</f>
        <v>0.21559999999999999</v>
      </c>
      <c r="F16" s="2"/>
      <c r="G16" s="14"/>
    </row>
    <row r="17" spans="1:7" ht="15">
      <c r="A17" s="15">
        <v>7</v>
      </c>
      <c r="B17" s="22" t="s">
        <v>25</v>
      </c>
      <c r="C17" s="22" t="s">
        <v>26</v>
      </c>
      <c r="D17" s="17">
        <f>E17*12*$D$2</f>
        <v>255.84820799999997</v>
      </c>
      <c r="E17" s="26">
        <f>0.21+0.0056</f>
        <v>0.21559999999999999</v>
      </c>
      <c r="F17" s="2"/>
      <c r="G17" s="14"/>
    </row>
    <row r="18" spans="1:7" ht="15">
      <c r="A18" s="9"/>
      <c r="B18" s="27" t="s">
        <v>27</v>
      </c>
      <c r="C18" s="27"/>
      <c r="D18" s="12">
        <f>D7+D10+D13+D16</f>
        <v>1358.4415848920871</v>
      </c>
      <c r="E18" s="12">
        <f>E7+E10+E13+E16</f>
        <v>1.1447412823103846</v>
      </c>
      <c r="F18" s="6"/>
      <c r="G18" s="14"/>
    </row>
    <row r="19" spans="1:6" ht="15">
      <c r="A19" s="29"/>
      <c r="B19" s="30"/>
      <c r="C19" s="31"/>
      <c r="D19" s="128"/>
      <c r="E19" s="64"/>
      <c r="F19" s="2"/>
    </row>
    <row r="20" spans="1:6" ht="29.25">
      <c r="A20" s="29"/>
      <c r="B20" s="30" t="s">
        <v>37</v>
      </c>
      <c r="C20" s="43">
        <f>D18</f>
        <v>1358.4415848920871</v>
      </c>
      <c r="D20" s="43"/>
      <c r="E20" s="43"/>
      <c r="F20" s="42"/>
    </row>
    <row r="21" spans="1:6" ht="15">
      <c r="A21" s="29"/>
      <c r="B21" s="30" t="s">
        <v>38</v>
      </c>
      <c r="C21" s="44">
        <f>E18</f>
        <v>1.1447412823103846</v>
      </c>
      <c r="D21" s="42"/>
      <c r="E21" s="42"/>
      <c r="F21" s="42"/>
    </row>
    <row r="22" spans="1:6" ht="15">
      <c r="A22" s="29"/>
      <c r="B22" s="30"/>
      <c r="C22" s="44"/>
      <c r="D22" s="42"/>
      <c r="E22" s="42"/>
      <c r="F22" s="42"/>
    </row>
    <row r="23" spans="1:6" ht="105">
      <c r="A23" s="11" t="s">
        <v>28</v>
      </c>
      <c r="B23" s="11" t="s">
        <v>29</v>
      </c>
      <c r="C23" s="11" t="s">
        <v>30</v>
      </c>
      <c r="D23" s="11" t="s">
        <v>31</v>
      </c>
      <c r="E23" s="11" t="s">
        <v>32</v>
      </c>
      <c r="F23" s="11" t="s">
        <v>33</v>
      </c>
    </row>
    <row r="24" spans="1:6" ht="15">
      <c r="A24" s="11">
        <v>1</v>
      </c>
      <c r="B24" s="8" t="s">
        <v>320</v>
      </c>
      <c r="C24" s="11" t="s">
        <v>170</v>
      </c>
      <c r="D24" s="11">
        <v>2585.5</v>
      </c>
      <c r="E24" s="37">
        <f>D24/12/D2</f>
        <v>2.1787676542960193</v>
      </c>
      <c r="F24" s="38">
        <v>2</v>
      </c>
    </row>
    <row r="25" spans="1:6" ht="15">
      <c r="A25" s="11"/>
      <c r="B25" s="39" t="s">
        <v>36</v>
      </c>
      <c r="C25" s="10"/>
      <c r="D25" s="54">
        <f>SUM(D24:D24)</f>
        <v>2585.5</v>
      </c>
      <c r="E25" s="40">
        <f>SUM(E24:E24)</f>
        <v>2.1787676542960193</v>
      </c>
      <c r="F25" s="41"/>
    </row>
    <row r="26" spans="1:6" ht="15">
      <c r="A26" s="29"/>
      <c r="B26" s="30"/>
      <c r="C26" s="44"/>
      <c r="D26" s="42"/>
      <c r="E26" s="42"/>
      <c r="F26" s="42"/>
    </row>
    <row r="27" spans="1:6" ht="29.25">
      <c r="A27" s="29"/>
      <c r="B27" s="30" t="s">
        <v>37</v>
      </c>
      <c r="C27" s="129">
        <f>D18+D25</f>
        <v>3943.941584892087</v>
      </c>
      <c r="D27" s="42"/>
      <c r="E27" s="42"/>
      <c r="F27" s="42"/>
    </row>
    <row r="28" spans="1:6" ht="15">
      <c r="A28" s="29"/>
      <c r="B28" s="30" t="s">
        <v>38</v>
      </c>
      <c r="C28" s="44">
        <f>E18+E25</f>
        <v>3.323508936606404</v>
      </c>
      <c r="D28" s="42"/>
      <c r="E28" s="42"/>
      <c r="F28" s="42"/>
    </row>
    <row r="29" spans="1:6" ht="15">
      <c r="A29" s="2"/>
      <c r="B29" s="2"/>
      <c r="C29" s="2"/>
      <c r="D29" s="2"/>
      <c r="E29" s="2"/>
      <c r="F29" s="2"/>
    </row>
    <row r="30" spans="1:6" ht="33" customHeight="1">
      <c r="A30" s="138" t="s">
        <v>39</v>
      </c>
      <c r="B30" s="138"/>
      <c r="C30" s="138"/>
      <c r="D30" s="138"/>
      <c r="E30" s="138"/>
      <c r="F30" s="138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4</v>
      </c>
      <c r="C32" s="9" t="s">
        <v>5</v>
      </c>
      <c r="D32" s="9" t="s">
        <v>6</v>
      </c>
      <c r="E32" s="9" t="s">
        <v>7</v>
      </c>
      <c r="F32" s="2"/>
    </row>
    <row r="33" spans="1:5" ht="15">
      <c r="A33" s="139" t="s">
        <v>40</v>
      </c>
      <c r="B33" s="139"/>
      <c r="C33" s="139"/>
      <c r="D33" s="12">
        <f>D34</f>
        <v>11.8668</v>
      </c>
      <c r="E33" s="12">
        <f>E34</f>
        <v>0.01</v>
      </c>
    </row>
    <row r="34" spans="1:5" ht="30">
      <c r="A34" s="15">
        <v>1</v>
      </c>
      <c r="B34" s="45" t="s">
        <v>41</v>
      </c>
      <c r="C34" s="45" t="s">
        <v>42</v>
      </c>
      <c r="D34" s="17">
        <f>E34*12*$D$2</f>
        <v>11.8668</v>
      </c>
      <c r="E34" s="46">
        <v>0.01</v>
      </c>
    </row>
    <row r="35" spans="1:5" ht="32.25" customHeight="1">
      <c r="A35" s="139" t="s">
        <v>43</v>
      </c>
      <c r="B35" s="139"/>
      <c r="C35" s="139"/>
      <c r="D35" s="12">
        <f>D36+D37</f>
        <v>94.9344</v>
      </c>
      <c r="E35" s="12">
        <f>E36+E37</f>
        <v>0.08</v>
      </c>
    </row>
    <row r="36" spans="1:5" ht="51" customHeight="1">
      <c r="A36" s="15">
        <v>2</v>
      </c>
      <c r="B36" s="45" t="s">
        <v>44</v>
      </c>
      <c r="C36" s="45" t="s">
        <v>45</v>
      </c>
      <c r="D36" s="17">
        <f>E36*$D$2*12</f>
        <v>23.7336</v>
      </c>
      <c r="E36" s="46">
        <v>0.02</v>
      </c>
    </row>
    <row r="37" spans="1:5" ht="15">
      <c r="A37" s="15">
        <v>3</v>
      </c>
      <c r="B37" s="47" t="s">
        <v>46</v>
      </c>
      <c r="C37" s="8" t="s">
        <v>213</v>
      </c>
      <c r="D37" s="17">
        <f>E37*$D$2*12</f>
        <v>71.2008</v>
      </c>
      <c r="E37" s="18">
        <v>0.06</v>
      </c>
    </row>
    <row r="38" spans="1:6" ht="15">
      <c r="A38" s="9"/>
      <c r="B38" s="27" t="s">
        <v>27</v>
      </c>
      <c r="C38" s="27"/>
      <c r="D38" s="48">
        <f>D33+D35</f>
        <v>106.8012</v>
      </c>
      <c r="E38" s="12">
        <f>E33+E35</f>
        <v>0.09</v>
      </c>
      <c r="F38" s="6"/>
    </row>
    <row r="39" spans="1:6" ht="15">
      <c r="A39" s="2"/>
      <c r="B39" s="2"/>
      <c r="C39" s="2"/>
      <c r="D39" s="2"/>
      <c r="E39" s="2"/>
      <c r="F39" s="2"/>
    </row>
    <row r="40" spans="2:3" ht="29.25">
      <c r="B40" s="30" t="s">
        <v>321</v>
      </c>
      <c r="C40" s="43">
        <f>C27</f>
        <v>3943.941584892087</v>
      </c>
    </row>
  </sheetData>
  <sheetProtection/>
  <mergeCells count="8">
    <mergeCell ref="A30:F30"/>
    <mergeCell ref="A33:C33"/>
    <mergeCell ref="A35:C35"/>
    <mergeCell ref="A4:E4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86"/>
  <sheetViews>
    <sheetView zoomScale="97" zoomScaleNormal="97" workbookViewId="0" topLeftCell="A82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38" t="s">
        <v>53</v>
      </c>
      <c r="B1" s="138"/>
      <c r="C1" s="138"/>
      <c r="D1" s="138"/>
      <c r="E1" s="138"/>
      <c r="F1" s="2"/>
    </row>
    <row r="2" spans="1:6" ht="39" customHeight="1">
      <c r="A2" s="2"/>
      <c r="B2" s="1" t="s">
        <v>54</v>
      </c>
      <c r="C2" s="4"/>
      <c r="D2" s="5">
        <v>82.7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30.75" customHeight="1">
      <c r="A7" s="145" t="s">
        <v>8</v>
      </c>
      <c r="B7" s="146"/>
      <c r="C7" s="146"/>
      <c r="D7" s="12">
        <f>D8</f>
        <v>208.8486969528053</v>
      </c>
      <c r="E7" s="12">
        <f>E8</f>
        <v>0.21044810253204888</v>
      </c>
      <c r="F7" s="13"/>
      <c r="G7" s="14"/>
    </row>
    <row r="8" spans="1:7" ht="15">
      <c r="A8" s="15">
        <v>1</v>
      </c>
      <c r="B8" s="8" t="s">
        <v>9</v>
      </c>
      <c r="C8" s="16" t="s">
        <v>10</v>
      </c>
      <c r="D8" s="17">
        <f>E8*$D$2*12</f>
        <v>208.8486969528053</v>
      </c>
      <c r="E8" s="18">
        <v>0.21044810253204888</v>
      </c>
      <c r="F8" s="2"/>
      <c r="G8" s="14"/>
    </row>
    <row r="9" spans="1:7" ht="15">
      <c r="A9" s="140" t="s">
        <v>11</v>
      </c>
      <c r="B9" s="141"/>
      <c r="C9" s="142"/>
      <c r="D9" s="12">
        <f>SUM(D10:D11)</f>
        <v>474.0489098097723</v>
      </c>
      <c r="E9" s="12">
        <f>SUM(E10:E11)</f>
        <v>0.4776792722790934</v>
      </c>
      <c r="F9" s="19"/>
      <c r="G9" s="14"/>
    </row>
    <row r="10" spans="1:7" ht="15.75" customHeight="1">
      <c r="A10" s="15">
        <v>2</v>
      </c>
      <c r="B10" s="8" t="s">
        <v>12</v>
      </c>
      <c r="C10" s="16" t="s">
        <v>13</v>
      </c>
      <c r="D10" s="17">
        <f>E10*$D$2*12</f>
        <v>433.7135496887211</v>
      </c>
      <c r="E10" s="20">
        <v>0.4370350158088685</v>
      </c>
      <c r="F10" s="21"/>
      <c r="G10" s="14"/>
    </row>
    <row r="11" spans="1:7" ht="30">
      <c r="A11" s="15">
        <v>3</v>
      </c>
      <c r="B11" s="22" t="s">
        <v>14</v>
      </c>
      <c r="C11" s="22" t="s">
        <v>15</v>
      </c>
      <c r="D11" s="17">
        <f>E11*$D$2*12</f>
        <v>40.33536012105118</v>
      </c>
      <c r="E11" s="17">
        <v>0.040644256470224883</v>
      </c>
      <c r="F11" s="21"/>
      <c r="G11" s="14"/>
    </row>
    <row r="12" spans="1:7" ht="15">
      <c r="A12" s="140" t="s">
        <v>16</v>
      </c>
      <c r="B12" s="143"/>
      <c r="C12" s="144"/>
      <c r="D12" s="23">
        <f>SUM(D13:D14)</f>
        <v>121.77885491281071</v>
      </c>
      <c r="E12" s="23">
        <f>SUM(E13:E14)</f>
        <v>0.12271146202419461</v>
      </c>
      <c r="F12" s="21"/>
      <c r="G12" s="14"/>
    </row>
    <row r="13" spans="1:7" ht="15.75" customHeight="1">
      <c r="A13" s="15">
        <v>4</v>
      </c>
      <c r="B13" s="22" t="s">
        <v>17</v>
      </c>
      <c r="C13" s="22" t="s">
        <v>18</v>
      </c>
      <c r="D13" s="17">
        <f>E13*12*$D$2</f>
        <v>75.56145260989457</v>
      </c>
      <c r="E13" s="18">
        <v>0.07614011750291674</v>
      </c>
      <c r="F13" s="13"/>
      <c r="G13" s="14"/>
    </row>
    <row r="14" spans="1:7" ht="60">
      <c r="A14" s="15">
        <v>5</v>
      </c>
      <c r="B14" s="22" t="s">
        <v>19</v>
      </c>
      <c r="C14" s="22" t="s">
        <v>18</v>
      </c>
      <c r="D14" s="17">
        <f>E14*12*$D$2</f>
        <v>46.21740230291615</v>
      </c>
      <c r="E14" s="17">
        <v>0.04657134452127786</v>
      </c>
      <c r="F14" s="2"/>
      <c r="G14" s="14"/>
    </row>
    <row r="15" spans="1:7" ht="15">
      <c r="A15" s="145" t="s">
        <v>20</v>
      </c>
      <c r="B15" s="146"/>
      <c r="C15" s="146"/>
      <c r="D15" s="24">
        <f>SUM(D16:D17)</f>
        <v>1423.363490173998</v>
      </c>
      <c r="E15" s="24">
        <f>SUM(E16:E17)</f>
        <v>1.4342638957819405</v>
      </c>
      <c r="F15" s="2"/>
      <c r="G15" s="14"/>
    </row>
    <row r="16" spans="1:7" ht="60">
      <c r="A16" s="15">
        <v>6</v>
      </c>
      <c r="B16" s="22" t="s">
        <v>21</v>
      </c>
      <c r="C16" s="22" t="s">
        <v>18</v>
      </c>
      <c r="D16" s="17">
        <f>E16*12*$D$2</f>
        <v>173.79864764381318</v>
      </c>
      <c r="E16" s="17">
        <v>0.17512963285349978</v>
      </c>
      <c r="F16" s="2"/>
      <c r="G16" s="14"/>
    </row>
    <row r="17" spans="1:7" ht="75">
      <c r="A17" s="15">
        <v>7</v>
      </c>
      <c r="B17" s="22" t="s">
        <v>22</v>
      </c>
      <c r="C17" s="22" t="s">
        <v>23</v>
      </c>
      <c r="D17" s="17">
        <f>E17*12*$D$2</f>
        <v>1249.5648425301847</v>
      </c>
      <c r="E17" s="20">
        <v>1.2591342629284408</v>
      </c>
      <c r="F17" s="2"/>
      <c r="G17" s="14"/>
    </row>
    <row r="18" spans="1:7" ht="15">
      <c r="A18" s="145" t="s">
        <v>24</v>
      </c>
      <c r="B18" s="145"/>
      <c r="C18" s="145"/>
      <c r="D18" s="25">
        <f>SUM(D19)</f>
        <v>279.98492080138533</v>
      </c>
      <c r="E18" s="25">
        <f>SUM(E19)</f>
        <v>0.282129101976406</v>
      </c>
      <c r="F18" s="2"/>
      <c r="G18" s="14"/>
    </row>
    <row r="19" spans="1:7" ht="15">
      <c r="A19" s="15">
        <v>8</v>
      </c>
      <c r="B19" s="22" t="s">
        <v>25</v>
      </c>
      <c r="C19" s="22" t="s">
        <v>26</v>
      </c>
      <c r="D19" s="17">
        <f>E19*12*$D$2</f>
        <v>279.98492080138533</v>
      </c>
      <c r="E19" s="26">
        <f>0.285529101976406-0.0034</f>
        <v>0.282129101976406</v>
      </c>
      <c r="F19" s="2"/>
      <c r="G19" s="14"/>
    </row>
    <row r="20" spans="1:7" ht="15">
      <c r="A20" s="9"/>
      <c r="B20" s="27" t="s">
        <v>27</v>
      </c>
      <c r="C20" s="27"/>
      <c r="D20" s="76">
        <f>D7+D9+D12+D15+D18</f>
        <v>2508.0248726507716</v>
      </c>
      <c r="E20" s="12">
        <f>E7+E9+E12+E15+E18</f>
        <v>2.527231834593683</v>
      </c>
      <c r="F20" s="6"/>
      <c r="G20" s="14"/>
    </row>
    <row r="21" spans="1:6" ht="15">
      <c r="A21" s="29"/>
      <c r="B21" s="30"/>
      <c r="C21" s="31"/>
      <c r="D21" s="32"/>
      <c r="E21" s="33"/>
      <c r="F21" s="2"/>
    </row>
    <row r="22" spans="1:6" ht="15">
      <c r="A22" s="34"/>
      <c r="B22" s="34"/>
      <c r="C22" s="34"/>
      <c r="D22" s="34"/>
      <c r="E22" s="34"/>
      <c r="F22" s="35"/>
    </row>
    <row r="23" spans="1:6" ht="105">
      <c r="A23" s="11" t="s">
        <v>28</v>
      </c>
      <c r="B23" s="11" t="s">
        <v>29</v>
      </c>
      <c r="C23" s="11" t="s">
        <v>30</v>
      </c>
      <c r="D23" s="73" t="s">
        <v>31</v>
      </c>
      <c r="E23" s="11" t="s">
        <v>32</v>
      </c>
      <c r="F23" s="11" t="s">
        <v>33</v>
      </c>
    </row>
    <row r="24" spans="1:6" ht="15">
      <c r="A24" s="11">
        <v>1</v>
      </c>
      <c r="B24" s="8" t="s">
        <v>34</v>
      </c>
      <c r="C24" s="11" t="s">
        <v>55</v>
      </c>
      <c r="D24" s="15">
        <v>2163</v>
      </c>
      <c r="E24" s="71">
        <f>D24/12/$D$2</f>
        <v>2.17956469165659</v>
      </c>
      <c r="F24" s="38">
        <v>1</v>
      </c>
    </row>
    <row r="25" spans="1:6" ht="15">
      <c r="A25" s="11"/>
      <c r="B25" s="39" t="s">
        <v>36</v>
      </c>
      <c r="C25" s="10"/>
      <c r="D25" s="75">
        <f>SUM(D24:D24)</f>
        <v>2163</v>
      </c>
      <c r="E25" s="40">
        <f>SUM(E24:E24)</f>
        <v>2.17956469165659</v>
      </c>
      <c r="F25" s="41"/>
    </row>
    <row r="26" spans="1:6" ht="15">
      <c r="A26" s="29"/>
      <c r="B26" s="30"/>
      <c r="C26" s="42"/>
      <c r="D26" s="42"/>
      <c r="E26" s="42"/>
      <c r="F26" s="42"/>
    </row>
    <row r="27" spans="1:6" ht="29.25">
      <c r="A27" s="29"/>
      <c r="B27" s="30" t="s">
        <v>37</v>
      </c>
      <c r="C27" s="43">
        <f>D20+D25</f>
        <v>4671.024872650772</v>
      </c>
      <c r="D27" s="43"/>
      <c r="E27" s="43"/>
      <c r="F27" s="42"/>
    </row>
    <row r="28" spans="1:6" ht="15">
      <c r="A28" s="29"/>
      <c r="B28" s="30" t="s">
        <v>38</v>
      </c>
      <c r="C28" s="44">
        <f>E20+E25</f>
        <v>4.7067965262502724</v>
      </c>
      <c r="D28" s="42"/>
      <c r="E28" s="42"/>
      <c r="F28" s="42"/>
    </row>
    <row r="29" spans="1:6" ht="15">
      <c r="A29" s="2"/>
      <c r="B29" s="2"/>
      <c r="C29" s="2"/>
      <c r="D29" s="2"/>
      <c r="E29" s="2"/>
      <c r="F29" s="2"/>
    </row>
    <row r="30" spans="1:6" ht="33" customHeight="1">
      <c r="A30" s="138" t="s">
        <v>39</v>
      </c>
      <c r="B30" s="138"/>
      <c r="C30" s="138"/>
      <c r="D30" s="138"/>
      <c r="E30" s="138"/>
      <c r="F30" s="138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4</v>
      </c>
      <c r="C32" s="9" t="s">
        <v>5</v>
      </c>
      <c r="D32" s="9" t="s">
        <v>6</v>
      </c>
      <c r="E32" s="9" t="s">
        <v>7</v>
      </c>
      <c r="F32" s="2"/>
    </row>
    <row r="33" spans="1:5" ht="31.5" customHeight="1">
      <c r="A33" s="139" t="s">
        <v>40</v>
      </c>
      <c r="B33" s="139"/>
      <c r="C33" s="139"/>
      <c r="D33" s="12">
        <f>D34</f>
        <v>9.924</v>
      </c>
      <c r="E33" s="12">
        <f>E34</f>
        <v>0.01</v>
      </c>
    </row>
    <row r="34" spans="1:5" ht="30">
      <c r="A34" s="15">
        <v>1</v>
      </c>
      <c r="B34" s="45" t="s">
        <v>41</v>
      </c>
      <c r="C34" s="45" t="s">
        <v>42</v>
      </c>
      <c r="D34" s="17">
        <f>E34*12*$D$2</f>
        <v>9.924</v>
      </c>
      <c r="E34" s="46">
        <v>0.01</v>
      </c>
    </row>
    <row r="35" spans="1:5" ht="32.25" customHeight="1">
      <c r="A35" s="139" t="s">
        <v>43</v>
      </c>
      <c r="B35" s="139"/>
      <c r="C35" s="139"/>
      <c r="D35" s="12">
        <f>D36+D37</f>
        <v>79.392</v>
      </c>
      <c r="E35" s="12">
        <f>E36+E37</f>
        <v>0.08</v>
      </c>
    </row>
    <row r="36" spans="1:5" ht="44.25" customHeight="1">
      <c r="A36" s="15">
        <v>2</v>
      </c>
      <c r="B36" s="45" t="s">
        <v>44</v>
      </c>
      <c r="C36" s="45" t="s">
        <v>45</v>
      </c>
      <c r="D36" s="17">
        <f>E36*$D$2*12</f>
        <v>19.848000000000003</v>
      </c>
      <c r="E36" s="46">
        <v>0.02</v>
      </c>
    </row>
    <row r="37" spans="1:5" ht="15">
      <c r="A37" s="15">
        <v>3</v>
      </c>
      <c r="B37" s="47" t="s">
        <v>46</v>
      </c>
      <c r="C37" s="8" t="s">
        <v>42</v>
      </c>
      <c r="D37" s="17">
        <f>E37*$D$2*12</f>
        <v>59.544</v>
      </c>
      <c r="E37" s="18">
        <v>0.06</v>
      </c>
    </row>
    <row r="38" spans="1:6" ht="15">
      <c r="A38" s="9"/>
      <c r="B38" s="27" t="s">
        <v>27</v>
      </c>
      <c r="C38" s="27"/>
      <c r="D38" s="48">
        <f>D33+D35</f>
        <v>89.316</v>
      </c>
      <c r="E38" s="12">
        <f>E33+E35</f>
        <v>0.09</v>
      </c>
      <c r="F38" s="6"/>
    </row>
    <row r="39" spans="1:6" ht="15">
      <c r="A39" s="2"/>
      <c r="B39" s="2"/>
      <c r="C39" s="2"/>
      <c r="D39" s="2"/>
      <c r="E39" s="2"/>
      <c r="F39" s="2"/>
    </row>
    <row r="40" spans="1:6" ht="15">
      <c r="A40" s="30"/>
      <c r="B40" s="30"/>
      <c r="C40" s="30"/>
      <c r="D40" s="30"/>
      <c r="E40" s="30"/>
      <c r="F40" s="29"/>
    </row>
    <row r="41" spans="1:6" ht="15">
      <c r="A41" s="30"/>
      <c r="B41" s="30"/>
      <c r="C41" s="30"/>
      <c r="D41" s="30"/>
      <c r="E41" s="30"/>
      <c r="F41" s="29"/>
    </row>
    <row r="43" spans="1:6" ht="15">
      <c r="A43" s="2"/>
      <c r="B43" s="1" t="s">
        <v>56</v>
      </c>
      <c r="C43" s="4"/>
      <c r="D43" s="5">
        <v>153.54</v>
      </c>
      <c r="E43" s="6" t="s">
        <v>2</v>
      </c>
      <c r="F43" s="2"/>
    </row>
    <row r="44" spans="1:6" ht="40.5" customHeight="1">
      <c r="A44" s="138" t="s">
        <v>3</v>
      </c>
      <c r="B44" s="138"/>
      <c r="C44" s="138"/>
      <c r="D44" s="138"/>
      <c r="E44" s="138"/>
      <c r="F44" s="2"/>
    </row>
    <row r="45" spans="1:6" ht="15">
      <c r="A45" s="1"/>
      <c r="B45" s="1"/>
      <c r="C45" s="1"/>
      <c r="D45" s="1"/>
      <c r="E45" s="1"/>
      <c r="F45" s="2"/>
    </row>
    <row r="46" spans="1:6" ht="71.25">
      <c r="A46" s="8"/>
      <c r="B46" s="9" t="s">
        <v>4</v>
      </c>
      <c r="C46" s="9" t="s">
        <v>5</v>
      </c>
      <c r="D46" s="9" t="s">
        <v>6</v>
      </c>
      <c r="E46" s="9" t="s">
        <v>7</v>
      </c>
      <c r="F46" s="2"/>
    </row>
    <row r="47" spans="1:7" ht="15">
      <c r="A47" s="145" t="s">
        <v>8</v>
      </c>
      <c r="B47" s="146"/>
      <c r="C47" s="146"/>
      <c r="D47" s="12">
        <f>D48</f>
        <v>387.7464199532494</v>
      </c>
      <c r="E47" s="12">
        <f>E48</f>
        <v>0.21044810253204888</v>
      </c>
      <c r="F47" s="13"/>
      <c r="G47" s="14"/>
    </row>
    <row r="48" spans="1:7" ht="15">
      <c r="A48" s="15">
        <v>1</v>
      </c>
      <c r="B48" s="8" t="s">
        <v>9</v>
      </c>
      <c r="C48" s="16" t="s">
        <v>10</v>
      </c>
      <c r="D48" s="17">
        <f>E48*$D$43*12</f>
        <v>387.7464199532494</v>
      </c>
      <c r="E48" s="18">
        <v>0.21044810253204888</v>
      </c>
      <c r="F48" s="2"/>
      <c r="G48" s="14"/>
    </row>
    <row r="49" spans="1:7" ht="15">
      <c r="A49" s="140" t="s">
        <v>11</v>
      </c>
      <c r="B49" s="141"/>
      <c r="C49" s="142"/>
      <c r="D49" s="12">
        <f>SUM(D50:D51)</f>
        <v>880.1145055887839</v>
      </c>
      <c r="E49" s="12">
        <f>SUM(E50:E51)</f>
        <v>0.4776792722790934</v>
      </c>
      <c r="F49" s="19"/>
      <c r="G49" s="14"/>
    </row>
    <row r="50" spans="1:7" ht="15">
      <c r="A50" s="15">
        <v>2</v>
      </c>
      <c r="B50" s="8" t="s">
        <v>12</v>
      </c>
      <c r="C50" s="16" t="s">
        <v>13</v>
      </c>
      <c r="D50" s="17">
        <f>E50*$D$43*12</f>
        <v>805.228275927524</v>
      </c>
      <c r="E50" s="20">
        <v>0.4370350158088685</v>
      </c>
      <c r="F50" s="21"/>
      <c r="G50" s="14"/>
    </row>
    <row r="51" spans="1:7" ht="30">
      <c r="A51" s="15">
        <v>3</v>
      </c>
      <c r="B51" s="22" t="s">
        <v>14</v>
      </c>
      <c r="C51" s="22" t="s">
        <v>15</v>
      </c>
      <c r="D51" s="17">
        <f>E51*$D$43*12</f>
        <v>74.88622966125993</v>
      </c>
      <c r="E51" s="17">
        <v>0.040644256470224883</v>
      </c>
      <c r="F51" s="21"/>
      <c r="G51" s="14"/>
    </row>
    <row r="52" spans="1:7" ht="15">
      <c r="A52" s="140" t="s">
        <v>16</v>
      </c>
      <c r="B52" s="143"/>
      <c r="C52" s="144"/>
      <c r="D52" s="23">
        <f>SUM(D53:D54)</f>
        <v>262.943014550338</v>
      </c>
      <c r="E52" s="23">
        <f>SUM(E53:E54)</f>
        <v>0.14271146202419457</v>
      </c>
      <c r="F52" s="21"/>
      <c r="G52" s="14"/>
    </row>
    <row r="53" spans="1:7" ht="30">
      <c r="A53" s="15">
        <v>4</v>
      </c>
      <c r="B53" s="22" t="s">
        <v>17</v>
      </c>
      <c r="C53" s="22" t="s">
        <v>18</v>
      </c>
      <c r="D53" s="17">
        <f>E53*$D$43*12</f>
        <v>177.13624369677396</v>
      </c>
      <c r="E53" s="18">
        <f>0.0761401175029167+0.02</f>
        <v>0.0961401175029167</v>
      </c>
      <c r="F53" s="13"/>
      <c r="G53" s="14"/>
    </row>
    <row r="54" spans="1:7" ht="60">
      <c r="A54" s="15">
        <v>5</v>
      </c>
      <c r="B54" s="22" t="s">
        <v>19</v>
      </c>
      <c r="C54" s="22" t="s">
        <v>18</v>
      </c>
      <c r="D54" s="17">
        <f>E54*$D$43*12</f>
        <v>85.80677085356403</v>
      </c>
      <c r="E54" s="17">
        <v>0.04657134452127786</v>
      </c>
      <c r="F54" s="2"/>
      <c r="G54" s="14"/>
    </row>
    <row r="55" spans="1:7" ht="15">
      <c r="A55" s="145" t="s">
        <v>20</v>
      </c>
      <c r="B55" s="146"/>
      <c r="C55" s="146"/>
      <c r="D55" s="24">
        <f>SUM(D56:D57)</f>
        <v>2642.6025427003096</v>
      </c>
      <c r="E55" s="24">
        <f>SUM(E56:E57)</f>
        <v>1.4342638957819405</v>
      </c>
      <c r="F55" s="2"/>
      <c r="G55" s="14"/>
    </row>
    <row r="56" spans="1:7" ht="60">
      <c r="A56" s="15">
        <v>6</v>
      </c>
      <c r="B56" s="22" t="s">
        <v>21</v>
      </c>
      <c r="C56" s="22" t="s">
        <v>18</v>
      </c>
      <c r="D56" s="17">
        <f>E56*$D$43*12</f>
        <v>322.6728459399163</v>
      </c>
      <c r="E56" s="17">
        <v>0.17512963285349978</v>
      </c>
      <c r="F56" s="2"/>
      <c r="G56" s="14"/>
    </row>
    <row r="57" spans="1:7" ht="75">
      <c r="A57" s="15">
        <v>7</v>
      </c>
      <c r="B57" s="22" t="s">
        <v>22</v>
      </c>
      <c r="C57" s="22" t="s">
        <v>23</v>
      </c>
      <c r="D57" s="17">
        <f>E57*$D$43*12</f>
        <v>2319.929696760393</v>
      </c>
      <c r="E57" s="20">
        <v>1.2591342629284408</v>
      </c>
      <c r="F57" s="2"/>
      <c r="G57" s="14"/>
    </row>
    <row r="58" spans="1:7" ht="15">
      <c r="A58" s="145" t="s">
        <v>24</v>
      </c>
      <c r="B58" s="145"/>
      <c r="C58" s="145"/>
      <c r="D58" s="25">
        <f>SUM(D59)</f>
        <v>527.9241398094886</v>
      </c>
      <c r="E58" s="25">
        <f>SUM(E59)</f>
        <v>0.286529101976406</v>
      </c>
      <c r="F58" s="2"/>
      <c r="G58" s="14"/>
    </row>
    <row r="59" spans="1:7" ht="15">
      <c r="A59" s="15">
        <v>8</v>
      </c>
      <c r="B59" s="22" t="s">
        <v>25</v>
      </c>
      <c r="C59" s="22" t="s">
        <v>26</v>
      </c>
      <c r="D59" s="17">
        <f>E59*$D$43*12</f>
        <v>527.9241398094886</v>
      </c>
      <c r="E59" s="26">
        <f>0.285529101976406+0.001</f>
        <v>0.286529101976406</v>
      </c>
      <c r="F59" s="2"/>
      <c r="G59" s="14"/>
    </row>
    <row r="60" spans="1:7" ht="15">
      <c r="A60" s="9"/>
      <c r="B60" s="27" t="s">
        <v>27</v>
      </c>
      <c r="C60" s="27"/>
      <c r="D60" s="48">
        <f>D47+D49+D52+D55+D58</f>
        <v>4701.33062260217</v>
      </c>
      <c r="E60" s="12">
        <f>E47+E49+E52+E55+E58</f>
        <v>2.5516318345936835</v>
      </c>
      <c r="F60" s="6"/>
      <c r="G60" s="14"/>
    </row>
    <row r="61" spans="1:6" ht="15">
      <c r="A61" s="29"/>
      <c r="B61" s="30"/>
      <c r="C61" s="31"/>
      <c r="D61" s="32"/>
      <c r="E61" s="33"/>
      <c r="F61" s="2"/>
    </row>
    <row r="62" spans="1:6" ht="15">
      <c r="A62" s="34"/>
      <c r="B62" s="34"/>
      <c r="C62" s="34"/>
      <c r="D62" s="34"/>
      <c r="E62" s="34"/>
      <c r="F62" s="35"/>
    </row>
    <row r="63" spans="1:6" ht="105">
      <c r="A63" s="11" t="s">
        <v>28</v>
      </c>
      <c r="B63" s="11" t="s">
        <v>29</v>
      </c>
      <c r="C63" s="11" t="s">
        <v>30</v>
      </c>
      <c r="D63" s="73" t="s">
        <v>31</v>
      </c>
      <c r="E63" s="11" t="s">
        <v>32</v>
      </c>
      <c r="F63" s="11" t="s">
        <v>33</v>
      </c>
    </row>
    <row r="64" spans="1:6" ht="15">
      <c r="A64" s="11">
        <v>1</v>
      </c>
      <c r="B64" s="8" t="s">
        <v>34</v>
      </c>
      <c r="C64" s="11" t="s">
        <v>57</v>
      </c>
      <c r="D64" s="15">
        <v>4013</v>
      </c>
      <c r="E64" s="71">
        <f>D64/12/$D$43</f>
        <v>2.1780426381833182</v>
      </c>
      <c r="F64" s="38">
        <v>1</v>
      </c>
    </row>
    <row r="65" spans="1:6" ht="15">
      <c r="A65" s="11"/>
      <c r="B65" s="39" t="s">
        <v>36</v>
      </c>
      <c r="C65" s="10"/>
      <c r="D65" s="75">
        <f>SUM(D64:D64)</f>
        <v>4013</v>
      </c>
      <c r="E65" s="40">
        <f>SUM(E64:E64)</f>
        <v>2.1780426381833182</v>
      </c>
      <c r="F65" s="41"/>
    </row>
    <row r="66" spans="1:6" ht="15">
      <c r="A66" s="29"/>
      <c r="B66" s="30"/>
      <c r="C66" s="42"/>
      <c r="D66" s="42"/>
      <c r="E66" s="42"/>
      <c r="F66" s="42"/>
    </row>
    <row r="67" spans="1:6" ht="29.25">
      <c r="A67" s="29"/>
      <c r="B67" s="30" t="s">
        <v>37</v>
      </c>
      <c r="C67" s="43">
        <f>D60+D65</f>
        <v>8714.33062260217</v>
      </c>
      <c r="D67" s="43"/>
      <c r="E67" s="43"/>
      <c r="F67" s="42"/>
    </row>
    <row r="68" spans="1:6" ht="15">
      <c r="A68" s="29"/>
      <c r="B68" s="30" t="s">
        <v>38</v>
      </c>
      <c r="C68" s="44">
        <f>E60+E65</f>
        <v>4.729674472777002</v>
      </c>
      <c r="D68" s="42"/>
      <c r="E68" s="42"/>
      <c r="F68" s="42"/>
    </row>
    <row r="69" spans="1:6" ht="15">
      <c r="A69" s="2"/>
      <c r="B69" s="2"/>
      <c r="C69" s="2"/>
      <c r="D69" s="2"/>
      <c r="E69" s="2"/>
      <c r="F69" s="2"/>
    </row>
    <row r="70" spans="1:6" ht="15">
      <c r="A70" s="138" t="s">
        <v>39</v>
      </c>
      <c r="B70" s="138"/>
      <c r="C70" s="138"/>
      <c r="D70" s="138"/>
      <c r="E70" s="138"/>
      <c r="F70" s="138"/>
    </row>
    <row r="71" spans="1:6" ht="15">
      <c r="A71" s="1"/>
      <c r="B71" s="1"/>
      <c r="C71" s="1"/>
      <c r="D71" s="2"/>
      <c r="E71" s="2"/>
      <c r="F71" s="2"/>
    </row>
    <row r="72" spans="1:6" ht="71.25">
      <c r="A72" s="8"/>
      <c r="B72" s="9" t="s">
        <v>4</v>
      </c>
      <c r="C72" s="9" t="s">
        <v>5</v>
      </c>
      <c r="D72" s="9" t="s">
        <v>6</v>
      </c>
      <c r="E72" s="9" t="s">
        <v>7</v>
      </c>
      <c r="F72" s="2"/>
    </row>
    <row r="73" spans="1:5" ht="15">
      <c r="A73" s="139" t="s">
        <v>40</v>
      </c>
      <c r="B73" s="139"/>
      <c r="C73" s="139"/>
      <c r="D73" s="12">
        <f>D74</f>
        <v>9.924</v>
      </c>
      <c r="E73" s="12">
        <f>E74</f>
        <v>0.01</v>
      </c>
    </row>
    <row r="74" spans="1:5" ht="30">
      <c r="A74" s="15">
        <v>1</v>
      </c>
      <c r="B74" s="45" t="s">
        <v>41</v>
      </c>
      <c r="C74" s="45" t="s">
        <v>42</v>
      </c>
      <c r="D74" s="17">
        <f>E74*12*$D$2</f>
        <v>9.924</v>
      </c>
      <c r="E74" s="46">
        <v>0.01</v>
      </c>
    </row>
    <row r="75" spans="1:5" ht="15">
      <c r="A75" s="139" t="s">
        <v>43</v>
      </c>
      <c r="B75" s="139"/>
      <c r="C75" s="139"/>
      <c r="D75" s="12">
        <f>D76+D77</f>
        <v>79.392</v>
      </c>
      <c r="E75" s="12">
        <f>E76+E77</f>
        <v>0.08</v>
      </c>
    </row>
    <row r="76" spans="1:5" ht="45">
      <c r="A76" s="15">
        <v>2</v>
      </c>
      <c r="B76" s="45" t="s">
        <v>44</v>
      </c>
      <c r="C76" s="45" t="s">
        <v>45</v>
      </c>
      <c r="D76" s="17">
        <f>E76*$D$2*12</f>
        <v>19.848000000000003</v>
      </c>
      <c r="E76" s="46">
        <v>0.02</v>
      </c>
    </row>
    <row r="77" spans="1:5" ht="15">
      <c r="A77" s="15">
        <v>3</v>
      </c>
      <c r="B77" s="47" t="s">
        <v>46</v>
      </c>
      <c r="C77" s="8" t="s">
        <v>42</v>
      </c>
      <c r="D77" s="17">
        <f>E77*$D$2*12</f>
        <v>59.544</v>
      </c>
      <c r="E77" s="18">
        <v>0.06</v>
      </c>
    </row>
    <row r="78" spans="1:6" ht="15">
      <c r="A78" s="9"/>
      <c r="B78" s="27" t="s">
        <v>27</v>
      </c>
      <c r="C78" s="27"/>
      <c r="D78" s="48">
        <f>D73+D75</f>
        <v>89.316</v>
      </c>
      <c r="E78" s="12">
        <f>E73+E75</f>
        <v>0.09</v>
      </c>
      <c r="F78" s="6"/>
    </row>
    <row r="79" spans="1:6" ht="15">
      <c r="A79" s="2"/>
      <c r="B79" s="2"/>
      <c r="C79" s="2"/>
      <c r="D79" s="2"/>
      <c r="E79" s="2"/>
      <c r="F79" s="2"/>
    </row>
    <row r="80" spans="1:6" ht="15">
      <c r="A80" s="34"/>
      <c r="B80" s="34"/>
      <c r="C80" s="34"/>
      <c r="D80" s="34"/>
      <c r="E80" s="34"/>
      <c r="F80" s="35"/>
    </row>
    <row r="81" spans="1:6" ht="105">
      <c r="A81" s="11" t="s">
        <v>28</v>
      </c>
      <c r="B81" s="11" t="s">
        <v>29</v>
      </c>
      <c r="C81" s="11" t="s">
        <v>30</v>
      </c>
      <c r="D81" s="11" t="s">
        <v>31</v>
      </c>
      <c r="E81" s="11" t="s">
        <v>47</v>
      </c>
      <c r="F81" s="11" t="s">
        <v>33</v>
      </c>
    </row>
    <row r="82" spans="1:6" ht="15">
      <c r="A82" s="11">
        <v>1</v>
      </c>
      <c r="B82" s="8" t="s">
        <v>34</v>
      </c>
      <c r="C82" s="11" t="s">
        <v>48</v>
      </c>
      <c r="D82" s="49">
        <v>1040</v>
      </c>
      <c r="E82" s="50">
        <f>D82/12/$D$43</f>
        <v>0.5644566019712562</v>
      </c>
      <c r="F82" s="38">
        <v>1</v>
      </c>
    </row>
    <row r="83" spans="1:6" ht="15">
      <c r="A83" s="51"/>
      <c r="B83" s="51" t="s">
        <v>36</v>
      </c>
      <c r="C83" s="51"/>
      <c r="D83" s="52">
        <f>SUM(D82:D82)</f>
        <v>1040</v>
      </c>
      <c r="E83" s="53">
        <f>SUM(E82:E82)</f>
        <v>0.5644566019712562</v>
      </c>
      <c r="F83" s="51"/>
    </row>
    <row r="86" spans="2:3" ht="29.25">
      <c r="B86" s="30" t="s">
        <v>58</v>
      </c>
      <c r="C86" s="55">
        <f>C67+C27</f>
        <v>13385.355495252941</v>
      </c>
    </row>
  </sheetData>
  <mergeCells count="19">
    <mergeCell ref="A35:C35"/>
    <mergeCell ref="A18:C18"/>
    <mergeCell ref="A30:F30"/>
    <mergeCell ref="A33:C33"/>
    <mergeCell ref="A9:C9"/>
    <mergeCell ref="A15:C15"/>
    <mergeCell ref="A12:C12"/>
    <mergeCell ref="A1:E1"/>
    <mergeCell ref="A4:E4"/>
    <mergeCell ref="A7:C7"/>
    <mergeCell ref="A44:E44"/>
    <mergeCell ref="A47:C47"/>
    <mergeCell ref="A49:C49"/>
    <mergeCell ref="A52:C52"/>
    <mergeCell ref="A75:C75"/>
    <mergeCell ref="A55:C55"/>
    <mergeCell ref="A58:C58"/>
    <mergeCell ref="A70:F70"/>
    <mergeCell ref="A73:C7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5"/>
  <sheetViews>
    <sheetView zoomScale="97" zoomScaleNormal="97" workbookViewId="0" topLeftCell="A22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38" t="s">
        <v>59</v>
      </c>
      <c r="B1" s="138"/>
      <c r="C1" s="138"/>
      <c r="D1" s="138"/>
      <c r="E1" s="138"/>
      <c r="F1" s="2"/>
    </row>
    <row r="2" spans="1:6" ht="39" customHeight="1">
      <c r="A2" s="2"/>
      <c r="B2" s="1" t="s">
        <v>60</v>
      </c>
      <c r="C2" s="4"/>
      <c r="D2" s="5">
        <v>123.81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740.1418411566119</v>
      </c>
      <c r="E7" s="12">
        <f>SUM(E8:E9)</f>
        <v>0.49817047704588474</v>
      </c>
      <c r="F7" s="19"/>
      <c r="G7" s="14"/>
    </row>
    <row r="8" spans="1:7" ht="15.75" customHeight="1">
      <c r="A8" s="15" t="s">
        <v>62</v>
      </c>
      <c r="B8" s="8" t="s">
        <v>12</v>
      </c>
      <c r="C8" s="16" t="s">
        <v>13</v>
      </c>
      <c r="D8" s="17">
        <f>E8*$D$2*12</f>
        <v>677.1654539401757</v>
      </c>
      <c r="E8" s="20">
        <v>0.4557826871417061</v>
      </c>
      <c r="F8" s="21"/>
      <c r="G8" s="14"/>
    </row>
    <row r="9" spans="1:7" ht="30">
      <c r="A9" s="15" t="s">
        <v>63</v>
      </c>
      <c r="B9" s="22" t="s">
        <v>14</v>
      </c>
      <c r="C9" s="22" t="s">
        <v>15</v>
      </c>
      <c r="D9" s="17">
        <f>E9*$D$2*12</f>
        <v>62.976387216436265</v>
      </c>
      <c r="E9" s="17">
        <v>0.04238778990417862</v>
      </c>
      <c r="F9" s="21"/>
      <c r="G9" s="14"/>
    </row>
    <row r="10" spans="1:7" ht="15">
      <c r="A10" s="140" t="s">
        <v>64</v>
      </c>
      <c r="B10" s="143"/>
      <c r="C10" s="144"/>
      <c r="D10" s="23">
        <f>SUM(D11:D12)</f>
        <v>104.91833779173861</v>
      </c>
      <c r="E10" s="23">
        <f>SUM(E11:E12)</f>
        <v>0.07061784036813033</v>
      </c>
      <c r="F10" s="21"/>
      <c r="G10" s="14"/>
    </row>
    <row r="11" spans="1:7" ht="15.75" customHeight="1">
      <c r="A11" s="15" t="s">
        <v>65</v>
      </c>
      <c r="B11" s="22" t="s">
        <v>17</v>
      </c>
      <c r="C11" s="22" t="s">
        <v>18</v>
      </c>
      <c r="D11" s="17">
        <f>E11*12*$D$2</f>
        <v>47.19022995124926</v>
      </c>
      <c r="E11" s="18">
        <v>0.03176253261129234</v>
      </c>
      <c r="F11" s="13"/>
      <c r="G11" s="14"/>
    </row>
    <row r="12" spans="1:7" ht="60">
      <c r="A12" s="15" t="s">
        <v>66</v>
      </c>
      <c r="B12" s="22" t="s">
        <v>19</v>
      </c>
      <c r="C12" s="22" t="s">
        <v>18</v>
      </c>
      <c r="D12" s="17">
        <f>E12*12*$D$2</f>
        <v>57.72810784048935</v>
      </c>
      <c r="E12" s="17">
        <v>0.038855307756837994</v>
      </c>
      <c r="F12" s="2"/>
      <c r="G12" s="14"/>
    </row>
    <row r="13" spans="1:7" ht="15">
      <c r="A13" s="145" t="s">
        <v>67</v>
      </c>
      <c r="B13" s="146"/>
      <c r="C13" s="146"/>
      <c r="D13" s="24">
        <f>SUM(D14:D15)</f>
        <v>431.2585161353284</v>
      </c>
      <c r="E13" s="24">
        <f>SUM(E14:E15)</f>
        <v>0.2902690386717069</v>
      </c>
      <c r="F13" s="2"/>
      <c r="G13" s="14"/>
    </row>
    <row r="14" spans="1:7" ht="60">
      <c r="A14" s="15" t="s">
        <v>68</v>
      </c>
      <c r="B14" s="22" t="s">
        <v>21</v>
      </c>
      <c r="C14" s="22" t="s">
        <v>18</v>
      </c>
      <c r="D14" s="17">
        <f>E14*12*$D$2</f>
        <v>16.063368546622037</v>
      </c>
      <c r="E14" s="17">
        <v>0.010811841091606787</v>
      </c>
      <c r="F14" s="2"/>
      <c r="G14" s="14"/>
    </row>
    <row r="15" spans="1:7" ht="75">
      <c r="A15" s="15" t="s">
        <v>69</v>
      </c>
      <c r="B15" s="22" t="s">
        <v>22</v>
      </c>
      <c r="C15" s="22" t="s">
        <v>23</v>
      </c>
      <c r="D15" s="17">
        <f>E15*12*$D$2</f>
        <v>415.1951475887064</v>
      </c>
      <c r="E15" s="20">
        <v>0.2794571975801001</v>
      </c>
      <c r="F15" s="2"/>
      <c r="G15" s="14"/>
    </row>
    <row r="16" spans="1:7" ht="15">
      <c r="A16" s="145" t="s">
        <v>70</v>
      </c>
      <c r="B16" s="145"/>
      <c r="C16" s="145"/>
      <c r="D16" s="25">
        <f>SUM(D17)</f>
        <v>259.0532018385372</v>
      </c>
      <c r="E16" s="25">
        <v>0.17436206138339472</v>
      </c>
      <c r="F16" s="2"/>
      <c r="G16" s="14"/>
    </row>
    <row r="17" spans="1:7" ht="15">
      <c r="A17" s="15" t="s">
        <v>71</v>
      </c>
      <c r="B17" s="22" t="s">
        <v>25</v>
      </c>
      <c r="C17" s="22" t="s">
        <v>26</v>
      </c>
      <c r="D17" s="17">
        <f>E17*12*$D$2</f>
        <v>259.0532018385372</v>
      </c>
      <c r="E17" s="26">
        <v>0.17436206138339472</v>
      </c>
      <c r="F17" s="2"/>
      <c r="G17" s="14"/>
    </row>
    <row r="18" spans="1:7" ht="15">
      <c r="A18" s="9"/>
      <c r="B18" s="27" t="s">
        <v>27</v>
      </c>
      <c r="C18" s="27"/>
      <c r="D18" s="48">
        <f>+D7+D10+D13+D16+1</f>
        <v>1536.3718969222161</v>
      </c>
      <c r="E18" s="12">
        <f>+E7+E10+E13+E16</f>
        <v>1.0334194174691167</v>
      </c>
      <c r="F18" s="6"/>
      <c r="G18" s="14"/>
    </row>
    <row r="19" spans="1:6" ht="15">
      <c r="A19" s="29"/>
      <c r="B19" s="30"/>
      <c r="C19" s="31"/>
      <c r="D19" s="32"/>
      <c r="E19" s="33"/>
      <c r="F19" s="2"/>
    </row>
    <row r="20" spans="1:6" ht="15">
      <c r="A20" s="34"/>
      <c r="B20" s="34"/>
      <c r="C20" s="34"/>
      <c r="D20" s="34"/>
      <c r="E20" s="34"/>
      <c r="F20" s="35"/>
    </row>
    <row r="21" spans="1:6" ht="105">
      <c r="A21" s="11" t="s">
        <v>28</v>
      </c>
      <c r="B21" s="11" t="s">
        <v>29</v>
      </c>
      <c r="C21" s="11" t="s">
        <v>30</v>
      </c>
      <c r="D21" s="73" t="s">
        <v>31</v>
      </c>
      <c r="E21" s="11" t="s">
        <v>32</v>
      </c>
      <c r="F21" s="11" t="s">
        <v>33</v>
      </c>
    </row>
    <row r="22" spans="1:6" ht="15">
      <c r="A22" s="11">
        <v>1</v>
      </c>
      <c r="B22" s="8" t="s">
        <v>34</v>
      </c>
      <c r="C22" s="11" t="s">
        <v>72</v>
      </c>
      <c r="D22" s="15">
        <v>3236</v>
      </c>
      <c r="E22" s="71">
        <f>D22/12/$D$2</f>
        <v>2.1780685458902083</v>
      </c>
      <c r="F22" s="38">
        <v>1</v>
      </c>
    </row>
    <row r="23" spans="1:6" ht="15">
      <c r="A23" s="11"/>
      <c r="B23" s="39" t="s">
        <v>36</v>
      </c>
      <c r="C23" s="10"/>
      <c r="D23" s="75">
        <f>SUM(D22:D22)</f>
        <v>3236</v>
      </c>
      <c r="E23" s="40">
        <f>SUM(E22:E22)</f>
        <v>2.1780685458902083</v>
      </c>
      <c r="F23" s="41"/>
    </row>
    <row r="24" spans="1:6" ht="15">
      <c r="A24" s="29"/>
      <c r="B24" s="30"/>
      <c r="C24" s="42"/>
      <c r="D24" s="42"/>
      <c r="E24" s="42"/>
      <c r="F24" s="42"/>
    </row>
    <row r="25" spans="1:6" ht="15">
      <c r="A25" s="29"/>
      <c r="B25" s="30"/>
      <c r="C25" s="42"/>
      <c r="D25" s="42"/>
      <c r="E25" s="42"/>
      <c r="F25" s="42"/>
    </row>
    <row r="26" spans="1:6" ht="29.25">
      <c r="A26" s="29"/>
      <c r="B26" s="30" t="s">
        <v>37</v>
      </c>
      <c r="C26" s="43">
        <f>D18+D23</f>
        <v>4772.371896922216</v>
      </c>
      <c r="D26" s="43"/>
      <c r="E26" s="43"/>
      <c r="F26" s="42"/>
    </row>
    <row r="27" spans="1:6" ht="15">
      <c r="A27" s="29"/>
      <c r="B27" s="30" t="s">
        <v>38</v>
      </c>
      <c r="C27" s="44">
        <f>E18+E23</f>
        <v>3.2114879633593247</v>
      </c>
      <c r="D27" s="42"/>
      <c r="E27" s="42"/>
      <c r="F27" s="42"/>
    </row>
    <row r="28" spans="1:6" ht="57" customHeight="1">
      <c r="A28" s="2"/>
      <c r="B28" s="2"/>
      <c r="C28" s="2"/>
      <c r="D28" s="2"/>
      <c r="E28" s="2"/>
      <c r="F28" s="2"/>
    </row>
    <row r="29" spans="1:6" ht="33" customHeight="1">
      <c r="A29" s="138" t="s">
        <v>39</v>
      </c>
      <c r="B29" s="138"/>
      <c r="C29" s="138"/>
      <c r="D29" s="138"/>
      <c r="E29" s="138"/>
      <c r="F29" s="13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4</v>
      </c>
      <c r="C31" s="9" t="s">
        <v>5</v>
      </c>
      <c r="D31" s="9" t="s">
        <v>6</v>
      </c>
      <c r="E31" s="9" t="s">
        <v>7</v>
      </c>
      <c r="F31" s="2"/>
    </row>
    <row r="32" spans="1:5" ht="31.5" customHeight="1">
      <c r="A32" s="139" t="s">
        <v>40</v>
      </c>
      <c r="B32" s="139"/>
      <c r="C32" s="139"/>
      <c r="D32" s="12">
        <f>D33</f>
        <v>14.857199999999999</v>
      </c>
      <c r="E32" s="12">
        <f>E33</f>
        <v>0.01</v>
      </c>
    </row>
    <row r="33" spans="1:5" ht="30">
      <c r="A33" s="15">
        <v>1</v>
      </c>
      <c r="B33" s="45" t="s">
        <v>41</v>
      </c>
      <c r="C33" s="45" t="s">
        <v>42</v>
      </c>
      <c r="D33" s="17">
        <f>E33*12*$D$2</f>
        <v>14.857199999999999</v>
      </c>
      <c r="E33" s="46">
        <v>0.01</v>
      </c>
    </row>
    <row r="34" spans="1:5" ht="32.25" customHeight="1">
      <c r="A34" s="139" t="s">
        <v>43</v>
      </c>
      <c r="B34" s="139"/>
      <c r="C34" s="139"/>
      <c r="D34" s="12">
        <f>D35+D36</f>
        <v>118.85759999999999</v>
      </c>
      <c r="E34" s="12">
        <f>E35+E36</f>
        <v>0.08</v>
      </c>
    </row>
    <row r="35" spans="1:5" ht="44.25" customHeight="1">
      <c r="A35" s="15">
        <v>2</v>
      </c>
      <c r="B35" s="45" t="s">
        <v>44</v>
      </c>
      <c r="C35" s="45" t="s">
        <v>45</v>
      </c>
      <c r="D35" s="17">
        <f>E35*$D$2*12</f>
        <v>29.714399999999998</v>
      </c>
      <c r="E35" s="46">
        <v>0.02</v>
      </c>
    </row>
    <row r="36" spans="1:5" ht="15">
      <c r="A36" s="15">
        <v>3</v>
      </c>
      <c r="B36" s="47" t="s">
        <v>46</v>
      </c>
      <c r="C36" s="8" t="s">
        <v>42</v>
      </c>
      <c r="D36" s="17">
        <f>E36*$D$2*12</f>
        <v>89.1432</v>
      </c>
      <c r="E36" s="18">
        <v>0.06</v>
      </c>
    </row>
    <row r="37" spans="1:6" ht="15">
      <c r="A37" s="9"/>
      <c r="B37" s="27" t="s">
        <v>27</v>
      </c>
      <c r="C37" s="27"/>
      <c r="D37" s="48">
        <f>D32+D34</f>
        <v>133.7148</v>
      </c>
      <c r="E37" s="12">
        <f>E32+E34</f>
        <v>0.09</v>
      </c>
      <c r="F37" s="6"/>
    </row>
    <row r="38" spans="1:6" ht="15">
      <c r="A38" s="2"/>
      <c r="B38" s="2"/>
      <c r="C38" s="2"/>
      <c r="D38" s="2"/>
      <c r="E38" s="2"/>
      <c r="F38" s="2"/>
    </row>
    <row r="39" spans="1:6" ht="15">
      <c r="A39" s="34"/>
      <c r="B39" s="34"/>
      <c r="C39" s="34"/>
      <c r="D39" s="34"/>
      <c r="E39" s="34"/>
      <c r="F39" s="35"/>
    </row>
    <row r="40" spans="1:6" ht="105">
      <c r="A40" s="11" t="s">
        <v>28</v>
      </c>
      <c r="B40" s="11" t="s">
        <v>29</v>
      </c>
      <c r="C40" s="11" t="s">
        <v>30</v>
      </c>
      <c r="D40" s="11" t="s">
        <v>31</v>
      </c>
      <c r="E40" s="11" t="s">
        <v>47</v>
      </c>
      <c r="F40" s="11" t="s">
        <v>33</v>
      </c>
    </row>
    <row r="41" spans="1:6" ht="15">
      <c r="A41" s="11">
        <v>1</v>
      </c>
      <c r="B41" s="8" t="s">
        <v>34</v>
      </c>
      <c r="C41" s="11" t="s">
        <v>48</v>
      </c>
      <c r="D41" s="49">
        <v>1040</v>
      </c>
      <c r="E41" s="50">
        <f>D41/12/$D$2</f>
        <v>0.6999973077026627</v>
      </c>
      <c r="F41" s="38">
        <v>1</v>
      </c>
    </row>
    <row r="42" spans="1:6" ht="15">
      <c r="A42" s="51"/>
      <c r="B42" s="51" t="s">
        <v>36</v>
      </c>
      <c r="C42" s="51"/>
      <c r="D42" s="52">
        <f>SUM(D41:D41)</f>
        <v>1040</v>
      </c>
      <c r="E42" s="53">
        <f>SUM(E41:E41)</f>
        <v>0.6999973077026627</v>
      </c>
      <c r="F42" s="51"/>
    </row>
    <row r="45" spans="2:3" ht="29.25">
      <c r="B45" s="30" t="s">
        <v>73</v>
      </c>
      <c r="C45" s="55">
        <f>C26</f>
        <v>4772.371896922216</v>
      </c>
    </row>
  </sheetData>
  <mergeCells count="9">
    <mergeCell ref="A34:C34"/>
    <mergeCell ref="A16:C16"/>
    <mergeCell ref="A29:F29"/>
    <mergeCell ref="A32:C32"/>
    <mergeCell ref="A7:C7"/>
    <mergeCell ref="A13:C13"/>
    <mergeCell ref="A10:C10"/>
    <mergeCell ref="A1:E1"/>
    <mergeCell ref="A4:E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7"/>
  <sheetViews>
    <sheetView zoomScale="97" zoomScaleNormal="97" workbookViewId="0" topLeftCell="A25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7" width="9.125" style="78" customWidth="1"/>
    <col min="8" max="16384" width="9.125" style="3" customWidth="1"/>
  </cols>
  <sheetData>
    <row r="1" spans="1:6" ht="15" customHeight="1">
      <c r="A1" s="138" t="s">
        <v>446</v>
      </c>
      <c r="B1" s="138"/>
      <c r="C1" s="138"/>
      <c r="D1" s="138"/>
      <c r="E1" s="138"/>
      <c r="F1" s="2"/>
    </row>
    <row r="2" spans="1:6" ht="39" customHeight="1">
      <c r="A2" s="2"/>
      <c r="B2" s="1" t="s">
        <v>447</v>
      </c>
      <c r="C2" s="4"/>
      <c r="D2" s="5">
        <v>335.12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2283.7621084540187</v>
      </c>
      <c r="E7" s="12">
        <f>SUM(E8:E9)</f>
        <v>0.5678966013303738</v>
      </c>
      <c r="F7" s="19"/>
    </row>
    <row r="8" spans="1:9" ht="15.75" customHeight="1">
      <c r="A8" s="15">
        <v>1</v>
      </c>
      <c r="B8" s="8" t="s">
        <v>12</v>
      </c>
      <c r="C8" s="16" t="s">
        <v>13</v>
      </c>
      <c r="D8" s="17">
        <f>E8*$D$2*12</f>
        <v>2089.4438320713803</v>
      </c>
      <c r="E8" s="20">
        <v>0.519576030494395</v>
      </c>
      <c r="F8" s="21"/>
      <c r="I8" s="126"/>
    </row>
    <row r="9" spans="1:9" ht="30">
      <c r="A9" s="15">
        <v>2</v>
      </c>
      <c r="B9" s="22" t="s">
        <v>14</v>
      </c>
      <c r="C9" s="22" t="s">
        <v>15</v>
      </c>
      <c r="D9" s="17">
        <f>E9*$D$2*12</f>
        <v>194.31827638263832</v>
      </c>
      <c r="E9" s="17">
        <v>0.04832057083597874</v>
      </c>
      <c r="F9" s="21"/>
      <c r="I9" s="126"/>
    </row>
    <row r="10" spans="1:9" ht="15">
      <c r="A10" s="140" t="s">
        <v>64</v>
      </c>
      <c r="B10" s="143"/>
      <c r="C10" s="144"/>
      <c r="D10" s="23">
        <f>SUM(D11:D12)</f>
        <v>220.2184716839547</v>
      </c>
      <c r="E10" s="23">
        <f>SUM(E11:E12)</f>
        <v>0.054761098433385724</v>
      </c>
      <c r="F10" s="21"/>
      <c r="I10" s="126"/>
    </row>
    <row r="11" spans="1:9" ht="15.75" customHeight="1">
      <c r="A11" s="15">
        <v>3</v>
      </c>
      <c r="B11" s="22" t="s">
        <v>17</v>
      </c>
      <c r="C11" s="22" t="s">
        <v>18</v>
      </c>
      <c r="D11" s="17">
        <f>E11*12*$D$2</f>
        <v>80.89384813312894</v>
      </c>
      <c r="E11" s="18">
        <v>0.020115642191137737</v>
      </c>
      <c r="F11" s="13"/>
      <c r="I11" s="126"/>
    </row>
    <row r="12" spans="1:9" ht="60">
      <c r="A12" s="15">
        <v>4</v>
      </c>
      <c r="B12" s="22" t="s">
        <v>19</v>
      </c>
      <c r="C12" s="22" t="s">
        <v>18</v>
      </c>
      <c r="D12" s="17">
        <f>E12*12*$D$2</f>
        <v>139.32462355082575</v>
      </c>
      <c r="E12" s="17">
        <v>0.03464545624224799</v>
      </c>
      <c r="F12" s="2"/>
      <c r="I12" s="126"/>
    </row>
    <row r="13" spans="1:9" ht="15">
      <c r="A13" s="145" t="s">
        <v>67</v>
      </c>
      <c r="B13" s="146"/>
      <c r="C13" s="146"/>
      <c r="D13" s="24">
        <f>SUM(D14:D15)</f>
        <v>995.3435110843185</v>
      </c>
      <c r="E13" s="24">
        <f>SUM(E14:E15)</f>
        <v>0.24750922830735222</v>
      </c>
      <c r="F13" s="2"/>
      <c r="I13" s="126"/>
    </row>
    <row r="14" spans="1:9" ht="60">
      <c r="A14" s="15">
        <v>5</v>
      </c>
      <c r="B14" s="22" t="s">
        <v>86</v>
      </c>
      <c r="C14" s="22" t="s">
        <v>18</v>
      </c>
      <c r="D14" s="17">
        <f>E14*12*$D$2</f>
        <v>40.054925415924</v>
      </c>
      <c r="E14" s="17">
        <v>0.009960343910620076</v>
      </c>
      <c r="F14" s="2"/>
      <c r="I14" s="126"/>
    </row>
    <row r="15" spans="1:9" ht="60">
      <c r="A15" s="15">
        <v>6</v>
      </c>
      <c r="B15" s="22" t="s">
        <v>22</v>
      </c>
      <c r="C15" s="22" t="s">
        <v>87</v>
      </c>
      <c r="D15" s="17">
        <f>E15*12*$D$2</f>
        <v>955.2885856683945</v>
      </c>
      <c r="E15" s="20">
        <v>0.23754888439673214</v>
      </c>
      <c r="F15" s="2"/>
      <c r="I15" s="126"/>
    </row>
    <row r="16" spans="1:9" ht="15">
      <c r="A16" s="145" t="s">
        <v>70</v>
      </c>
      <c r="B16" s="145"/>
      <c r="C16" s="145"/>
      <c r="D16" s="25">
        <f>SUM(D17)</f>
        <v>614.0057492017451</v>
      </c>
      <c r="E16" s="25">
        <f>SUM(E17)</f>
        <v>0.152683056119635</v>
      </c>
      <c r="F16" s="2"/>
      <c r="I16" s="126"/>
    </row>
    <row r="17" spans="1:9" ht="15">
      <c r="A17" s="15">
        <v>7</v>
      </c>
      <c r="B17" s="22" t="s">
        <v>25</v>
      </c>
      <c r="C17" s="22" t="s">
        <v>26</v>
      </c>
      <c r="D17" s="17">
        <f>E17*12*$D$2</f>
        <v>614.0057492017451</v>
      </c>
      <c r="E17" s="26">
        <f>0.149507577119635+0.003175479</f>
        <v>0.152683056119635</v>
      </c>
      <c r="F17" s="2"/>
      <c r="I17" s="126"/>
    </row>
    <row r="18" spans="1:6" ht="15">
      <c r="A18" s="9"/>
      <c r="B18" s="27" t="s">
        <v>27</v>
      </c>
      <c r="C18" s="27"/>
      <c r="D18" s="48">
        <f>D7+D10+D13+D16</f>
        <v>4113.329840424037</v>
      </c>
      <c r="E18" s="12">
        <f>E7+E10+E13+E16</f>
        <v>1.0228499841907468</v>
      </c>
      <c r="F18" s="6"/>
    </row>
    <row r="19" spans="1:6" ht="15">
      <c r="A19" s="29"/>
      <c r="B19" s="30"/>
      <c r="C19" s="31"/>
      <c r="D19" s="32"/>
      <c r="E19" s="33"/>
      <c r="F19" s="2"/>
    </row>
    <row r="20" spans="1:6" ht="15">
      <c r="A20" s="29"/>
      <c r="B20" s="30"/>
      <c r="C20" s="31"/>
      <c r="D20" s="32"/>
      <c r="E20" s="33"/>
      <c r="F20" s="2"/>
    </row>
    <row r="21" spans="1:6" ht="105">
      <c r="A21" s="11" t="s">
        <v>28</v>
      </c>
      <c r="B21" s="11" t="s">
        <v>29</v>
      </c>
      <c r="C21" s="11" t="s">
        <v>30</v>
      </c>
      <c r="D21" s="11" t="s">
        <v>31</v>
      </c>
      <c r="E21" s="11" t="s">
        <v>32</v>
      </c>
      <c r="F21" s="11" t="s">
        <v>33</v>
      </c>
    </row>
    <row r="22" spans="1:6" ht="15">
      <c r="A22" s="11">
        <v>1</v>
      </c>
      <c r="B22" s="8" t="s">
        <v>320</v>
      </c>
      <c r="C22" s="11" t="s">
        <v>448</v>
      </c>
      <c r="D22" s="36">
        <v>8759.3</v>
      </c>
      <c r="E22" s="37">
        <f>D22/12/$D$2</f>
        <v>2.1781501153815546</v>
      </c>
      <c r="F22" s="38">
        <v>1</v>
      </c>
    </row>
    <row r="23" spans="1:6" ht="15">
      <c r="A23" s="11"/>
      <c r="B23" s="39" t="s">
        <v>36</v>
      </c>
      <c r="C23" s="10"/>
      <c r="D23" s="54">
        <f>SUM(D22:D22)</f>
        <v>8759.3</v>
      </c>
      <c r="E23" s="40">
        <f>SUM(E22:E22)</f>
        <v>2.1781501153815546</v>
      </c>
      <c r="F23" s="41"/>
    </row>
    <row r="24" spans="1:6" ht="15">
      <c r="A24" s="29"/>
      <c r="B24" s="30"/>
      <c r="C24" s="31"/>
      <c r="D24" s="32"/>
      <c r="E24" s="33"/>
      <c r="F24" s="2"/>
    </row>
    <row r="25" spans="1:6" ht="15">
      <c r="A25" s="29"/>
      <c r="B25" s="30"/>
      <c r="C25" s="31"/>
      <c r="D25" s="32"/>
      <c r="E25" s="33"/>
      <c r="F25" s="2"/>
    </row>
    <row r="26" spans="1:6" ht="29.25">
      <c r="A26" s="29"/>
      <c r="B26" s="30" t="s">
        <v>37</v>
      </c>
      <c r="C26" s="43">
        <f>D18+D23</f>
        <v>12872.629840424037</v>
      </c>
      <c r="D26" s="43"/>
      <c r="E26" s="43"/>
      <c r="F26" s="42"/>
    </row>
    <row r="27" spans="1:6" ht="15">
      <c r="A27" s="29"/>
      <c r="B27" s="30" t="s">
        <v>38</v>
      </c>
      <c r="C27" s="44">
        <f>E18+E23</f>
        <v>3.201000099572301</v>
      </c>
      <c r="D27" s="42"/>
      <c r="E27" s="42"/>
      <c r="F27" s="42"/>
    </row>
    <row r="28" spans="1:6" ht="15">
      <c r="A28" s="29"/>
      <c r="B28" s="30"/>
      <c r="C28" s="44"/>
      <c r="D28" s="42"/>
      <c r="E28" s="42"/>
      <c r="F28" s="42"/>
    </row>
    <row r="29" spans="1:6" ht="37.5" customHeight="1">
      <c r="A29" s="2"/>
      <c r="B29" s="2"/>
      <c r="C29" s="2"/>
      <c r="D29" s="2"/>
      <c r="E29" s="2"/>
      <c r="F29" s="2"/>
    </row>
    <row r="30" spans="1:6" ht="33" customHeight="1">
      <c r="A30" s="138" t="s">
        <v>39</v>
      </c>
      <c r="B30" s="138"/>
      <c r="C30" s="138"/>
      <c r="D30" s="138"/>
      <c r="E30" s="138"/>
      <c r="F30" s="138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4</v>
      </c>
      <c r="C32" s="9" t="s">
        <v>5</v>
      </c>
      <c r="D32" s="9" t="s">
        <v>6</v>
      </c>
      <c r="E32" s="9" t="s">
        <v>7</v>
      </c>
      <c r="F32" s="2"/>
    </row>
    <row r="33" spans="1:5" ht="31.5" customHeight="1">
      <c r="A33" s="139" t="s">
        <v>40</v>
      </c>
      <c r="B33" s="139"/>
      <c r="C33" s="139"/>
      <c r="D33" s="12">
        <f>D34</f>
        <v>40.2144</v>
      </c>
      <c r="E33" s="12">
        <f>E34</f>
        <v>0.01</v>
      </c>
    </row>
    <row r="34" spans="1:5" ht="30">
      <c r="A34" s="15">
        <v>1</v>
      </c>
      <c r="B34" s="45" t="s">
        <v>41</v>
      </c>
      <c r="C34" s="45" t="s">
        <v>42</v>
      </c>
      <c r="D34" s="17">
        <f>E34*12*$D$2</f>
        <v>40.2144</v>
      </c>
      <c r="E34" s="46">
        <v>0.01</v>
      </c>
    </row>
    <row r="35" spans="1:5" ht="32.25" customHeight="1">
      <c r="A35" s="139" t="s">
        <v>43</v>
      </c>
      <c r="B35" s="139"/>
      <c r="C35" s="139"/>
      <c r="D35" s="12">
        <f>D36+D37</f>
        <v>321.7152</v>
      </c>
      <c r="E35" s="12">
        <f>E36+E37</f>
        <v>0.08</v>
      </c>
    </row>
    <row r="36" spans="1:5" ht="45">
      <c r="A36" s="15">
        <v>2</v>
      </c>
      <c r="B36" s="45" t="s">
        <v>44</v>
      </c>
      <c r="C36" s="45" t="s">
        <v>45</v>
      </c>
      <c r="D36" s="17">
        <f>E36*$D$2*12</f>
        <v>80.4288</v>
      </c>
      <c r="E36" s="46">
        <v>0.02</v>
      </c>
    </row>
    <row r="37" spans="1:5" ht="15">
      <c r="A37" s="15">
        <v>3</v>
      </c>
      <c r="B37" s="47" t="s">
        <v>46</v>
      </c>
      <c r="C37" s="8" t="s">
        <v>42</v>
      </c>
      <c r="D37" s="17">
        <f>E37*$D$2*12</f>
        <v>241.2864</v>
      </c>
      <c r="E37" s="18">
        <v>0.06</v>
      </c>
    </row>
    <row r="38" spans="1:6" ht="15">
      <c r="A38" s="9"/>
      <c r="B38" s="27" t="s">
        <v>27</v>
      </c>
      <c r="C38" s="27"/>
      <c r="D38" s="48">
        <f>D33+D35</f>
        <v>361.9296</v>
      </c>
      <c r="E38" s="12">
        <f>E33+E35</f>
        <v>0.09</v>
      </c>
      <c r="F38" s="6"/>
    </row>
    <row r="39" spans="1:6" ht="15">
      <c r="A39" s="2"/>
      <c r="B39" s="2"/>
      <c r="C39" s="2"/>
      <c r="D39" s="2"/>
      <c r="E39" s="2"/>
      <c r="F39" s="2"/>
    </row>
    <row r="40" spans="1:6" ht="15">
      <c r="A40" s="34"/>
      <c r="B40" s="34"/>
      <c r="C40" s="34"/>
      <c r="D40" s="34"/>
      <c r="E40" s="34"/>
      <c r="F40" s="35"/>
    </row>
    <row r="41" spans="1:6" ht="105">
      <c r="A41" s="11" t="s">
        <v>28</v>
      </c>
      <c r="B41" s="11" t="s">
        <v>29</v>
      </c>
      <c r="C41" s="11" t="s">
        <v>30</v>
      </c>
      <c r="D41" s="11" t="s">
        <v>31</v>
      </c>
      <c r="E41" s="11" t="s">
        <v>47</v>
      </c>
      <c r="F41" s="11" t="s">
        <v>33</v>
      </c>
    </row>
    <row r="42" spans="1:6" ht="15">
      <c r="A42" s="11">
        <v>1</v>
      </c>
      <c r="B42" s="8" t="s">
        <v>320</v>
      </c>
      <c r="C42" s="11" t="s">
        <v>170</v>
      </c>
      <c r="D42" s="36">
        <v>1990.75</v>
      </c>
      <c r="E42" s="50">
        <f>D42/12/$D$2</f>
        <v>0.4950341171321716</v>
      </c>
      <c r="F42" s="38">
        <v>1</v>
      </c>
    </row>
    <row r="43" spans="1:6" ht="15">
      <c r="A43" s="51"/>
      <c r="B43" s="51" t="s">
        <v>36</v>
      </c>
      <c r="C43" s="51"/>
      <c r="D43" s="52">
        <f>SUM(D42:D42)</f>
        <v>1990.75</v>
      </c>
      <c r="E43" s="53">
        <f>SUM(E42:E42)</f>
        <v>0.4950341171321716</v>
      </c>
      <c r="F43" s="51"/>
    </row>
    <row r="47" spans="2:3" ht="29.25">
      <c r="B47" s="30" t="s">
        <v>449</v>
      </c>
      <c r="C47" s="43">
        <f>C26</f>
        <v>12872.629840424037</v>
      </c>
    </row>
  </sheetData>
  <mergeCells count="9">
    <mergeCell ref="A35:C35"/>
    <mergeCell ref="A16:C16"/>
    <mergeCell ref="A30:F30"/>
    <mergeCell ref="A33:C33"/>
    <mergeCell ref="A1:E1"/>
    <mergeCell ref="A4:E4"/>
    <mergeCell ref="A7:C7"/>
    <mergeCell ref="A13:C13"/>
    <mergeCell ref="A10:C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47"/>
  <sheetViews>
    <sheetView zoomScale="97" zoomScaleNormal="97" workbookViewId="0" topLeftCell="A34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7" width="9.125" style="78" customWidth="1"/>
    <col min="8" max="16384" width="9.125" style="3" customWidth="1"/>
  </cols>
  <sheetData>
    <row r="1" spans="1:6" ht="15" customHeight="1">
      <c r="A1" s="138" t="s">
        <v>450</v>
      </c>
      <c r="B1" s="138"/>
      <c r="C1" s="138"/>
      <c r="D1" s="138"/>
      <c r="E1" s="138"/>
      <c r="F1" s="2"/>
    </row>
    <row r="2" spans="1:6" ht="39" customHeight="1">
      <c r="A2" s="2"/>
      <c r="B2" s="1" t="s">
        <v>451</v>
      </c>
      <c r="C2" s="4"/>
      <c r="D2" s="5">
        <v>59.76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740.1418411566119</v>
      </c>
      <c r="E7" s="12">
        <f>SUM(E8:E9)</f>
        <v>1.0321031921527943</v>
      </c>
      <c r="F7" s="19"/>
    </row>
    <row r="8" spans="1:9" ht="15.75" customHeight="1">
      <c r="A8" s="15">
        <v>1</v>
      </c>
      <c r="B8" s="8" t="s">
        <v>12</v>
      </c>
      <c r="C8" s="16" t="s">
        <v>13</v>
      </c>
      <c r="D8" s="17">
        <f>E8*$D$2*12</f>
        <v>677.1654539401757</v>
      </c>
      <c r="E8" s="20">
        <v>0.9442847137719986</v>
      </c>
      <c r="F8" s="21"/>
      <c r="I8" s="126"/>
    </row>
    <row r="9" spans="1:9" ht="30">
      <c r="A9" s="15">
        <v>2</v>
      </c>
      <c r="B9" s="22" t="s">
        <v>14</v>
      </c>
      <c r="C9" s="22" t="s">
        <v>15</v>
      </c>
      <c r="D9" s="17">
        <f>E9*$D$2*12</f>
        <v>62.976387216436294</v>
      </c>
      <c r="E9" s="17">
        <v>0.08781847838079582</v>
      </c>
      <c r="F9" s="21"/>
      <c r="I9" s="126"/>
    </row>
    <row r="10" spans="1:9" ht="15">
      <c r="A10" s="140" t="s">
        <v>64</v>
      </c>
      <c r="B10" s="143"/>
      <c r="C10" s="144"/>
      <c r="D10" s="23">
        <f>SUM(D11:D12)</f>
        <v>104.9183377917386</v>
      </c>
      <c r="E10" s="23">
        <f>SUM(E11:E12)</f>
        <v>0.14630513413618168</v>
      </c>
      <c r="F10" s="21"/>
      <c r="I10" s="126"/>
    </row>
    <row r="11" spans="1:9" ht="15.75" customHeight="1">
      <c r="A11" s="15">
        <v>3</v>
      </c>
      <c r="B11" s="22" t="s">
        <v>17</v>
      </c>
      <c r="C11" s="22" t="s">
        <v>18</v>
      </c>
      <c r="D11" s="17">
        <f>E11*12*$D$2</f>
        <v>47.19022995124922</v>
      </c>
      <c r="E11" s="18">
        <v>0.06580520687088524</v>
      </c>
      <c r="F11" s="13"/>
      <c r="I11" s="126"/>
    </row>
    <row r="12" spans="1:9" ht="60">
      <c r="A12" s="15">
        <v>4</v>
      </c>
      <c r="B12" s="22" t="s">
        <v>19</v>
      </c>
      <c r="C12" s="22" t="s">
        <v>18</v>
      </c>
      <c r="D12" s="17">
        <f>E12*12*$D$2</f>
        <v>57.72810784048938</v>
      </c>
      <c r="E12" s="17">
        <v>0.08049992726529644</v>
      </c>
      <c r="F12" s="2"/>
      <c r="I12" s="126"/>
    </row>
    <row r="13" spans="1:9" ht="15">
      <c r="A13" s="145" t="s">
        <v>67</v>
      </c>
      <c r="B13" s="146"/>
      <c r="C13" s="146"/>
      <c r="D13" s="24">
        <f>SUM(D14:D15)</f>
        <v>336.1247236656118</v>
      </c>
      <c r="E13" s="24">
        <f>SUM(E14:E15)</f>
        <v>0.4687147529919843</v>
      </c>
      <c r="F13" s="2"/>
      <c r="I13" s="126"/>
    </row>
    <row r="14" spans="1:9" ht="60">
      <c r="A14" s="15">
        <v>5</v>
      </c>
      <c r="B14" s="22" t="s">
        <v>86</v>
      </c>
      <c r="C14" s="22" t="s">
        <v>18</v>
      </c>
      <c r="D14" s="17">
        <f>E14*12*$D$2</f>
        <v>16.063368546622034</v>
      </c>
      <c r="E14" s="17">
        <v>0.022399833426235548</v>
      </c>
      <c r="F14" s="2"/>
      <c r="I14" s="126"/>
    </row>
    <row r="15" spans="1:9" ht="60">
      <c r="A15" s="15">
        <v>6</v>
      </c>
      <c r="B15" s="22" t="s">
        <v>22</v>
      </c>
      <c r="C15" s="22" t="s">
        <v>87</v>
      </c>
      <c r="D15" s="17">
        <f>E15*12*$D$2</f>
        <v>320.06135511898975</v>
      </c>
      <c r="E15" s="20">
        <v>0.44631491956574876</v>
      </c>
      <c r="F15" s="2"/>
      <c r="I15" s="126"/>
    </row>
    <row r="16" spans="1:9" ht="15">
      <c r="A16" s="145" t="s">
        <v>70</v>
      </c>
      <c r="B16" s="145"/>
      <c r="C16" s="145"/>
      <c r="D16" s="25">
        <f>SUM(D17)</f>
        <v>257.5741177413599</v>
      </c>
      <c r="E16" s="25">
        <f>SUM(E17)</f>
        <v>0.35917854437382857</v>
      </c>
      <c r="F16" s="2"/>
      <c r="I16" s="126"/>
    </row>
    <row r="17" spans="1:9" ht="15">
      <c r="A17" s="15">
        <v>7</v>
      </c>
      <c r="B17" s="22" t="s">
        <v>25</v>
      </c>
      <c r="C17" s="22" t="s">
        <v>26</v>
      </c>
      <c r="D17" s="17">
        <f>E17*12*$D$2</f>
        <v>257.5741177413599</v>
      </c>
      <c r="E17" s="26">
        <v>0.35917854437382857</v>
      </c>
      <c r="F17" s="2"/>
      <c r="I17" s="126"/>
    </row>
    <row r="18" spans="1:6" ht="15">
      <c r="A18" s="9"/>
      <c r="B18" s="27" t="s">
        <v>27</v>
      </c>
      <c r="C18" s="27"/>
      <c r="D18" s="48">
        <f>D7+D10+D13+D16</f>
        <v>1438.7590203553223</v>
      </c>
      <c r="E18" s="12">
        <f>E7+E10+E13+E16</f>
        <v>2.006301623654789</v>
      </c>
      <c r="F18" s="6"/>
    </row>
    <row r="19" spans="1:6" ht="15">
      <c r="A19" s="29"/>
      <c r="B19" s="30"/>
      <c r="C19" s="31"/>
      <c r="D19" s="32"/>
      <c r="E19" s="33"/>
      <c r="F19" s="2"/>
    </row>
    <row r="20" spans="1:6" ht="15">
      <c r="A20" s="29"/>
      <c r="B20" s="30"/>
      <c r="C20" s="31"/>
      <c r="D20" s="32"/>
      <c r="E20" s="33"/>
      <c r="F20" s="2"/>
    </row>
    <row r="21" spans="1:6" ht="105">
      <c r="A21" s="11" t="s">
        <v>28</v>
      </c>
      <c r="B21" s="11" t="s">
        <v>29</v>
      </c>
      <c r="C21" s="11" t="s">
        <v>30</v>
      </c>
      <c r="D21" s="11" t="s">
        <v>31</v>
      </c>
      <c r="E21" s="11" t="s">
        <v>32</v>
      </c>
      <c r="F21" s="11" t="s">
        <v>33</v>
      </c>
    </row>
    <row r="22" spans="1:6" ht="15">
      <c r="A22" s="11">
        <v>1</v>
      </c>
      <c r="B22" s="8" t="s">
        <v>320</v>
      </c>
      <c r="C22" s="11" t="s">
        <v>452</v>
      </c>
      <c r="D22" s="36">
        <v>1562</v>
      </c>
      <c r="E22" s="37">
        <f>D22/12/$D$2</f>
        <v>2.178157072735386</v>
      </c>
      <c r="F22" s="38">
        <v>1</v>
      </c>
    </row>
    <row r="23" spans="1:6" ht="15">
      <c r="A23" s="11"/>
      <c r="B23" s="39" t="s">
        <v>36</v>
      </c>
      <c r="C23" s="10"/>
      <c r="D23" s="54">
        <f>SUM(D22:D22)</f>
        <v>1562</v>
      </c>
      <c r="E23" s="40">
        <f>SUM(E22:E22)</f>
        <v>2.178157072735386</v>
      </c>
      <c r="F23" s="41"/>
    </row>
    <row r="24" spans="1:6" ht="15">
      <c r="A24" s="29"/>
      <c r="B24" s="30"/>
      <c r="C24" s="31"/>
      <c r="D24" s="32"/>
      <c r="E24" s="33"/>
      <c r="F24" s="2"/>
    </row>
    <row r="25" spans="1:6" ht="15">
      <c r="A25" s="29"/>
      <c r="B25" s="30"/>
      <c r="C25" s="31"/>
      <c r="D25" s="32"/>
      <c r="E25" s="33"/>
      <c r="F25" s="2"/>
    </row>
    <row r="26" spans="1:6" ht="29.25">
      <c r="A26" s="29"/>
      <c r="B26" s="30" t="s">
        <v>37</v>
      </c>
      <c r="C26" s="43">
        <f>D18+D23</f>
        <v>3000.7590203553223</v>
      </c>
      <c r="D26" s="43"/>
      <c r="E26" s="43"/>
      <c r="F26" s="42"/>
    </row>
    <row r="27" spans="1:6" ht="15">
      <c r="A27" s="29"/>
      <c r="B27" s="30" t="s">
        <v>38</v>
      </c>
      <c r="C27" s="44">
        <f>E18+E23</f>
        <v>4.184458696390175</v>
      </c>
      <c r="D27" s="42"/>
      <c r="E27" s="42"/>
      <c r="F27" s="42"/>
    </row>
    <row r="28" spans="1:6" ht="15">
      <c r="A28" s="29"/>
      <c r="B28" s="30"/>
      <c r="C28" s="44"/>
      <c r="D28" s="42"/>
      <c r="E28" s="42"/>
      <c r="F28" s="42"/>
    </row>
    <row r="29" spans="1:6" ht="37.5" customHeight="1">
      <c r="A29" s="2"/>
      <c r="B29" s="2"/>
      <c r="C29" s="2"/>
      <c r="D29" s="2"/>
      <c r="E29" s="2"/>
      <c r="F29" s="2"/>
    </row>
    <row r="30" spans="1:6" ht="33" customHeight="1">
      <c r="A30" s="138" t="s">
        <v>39</v>
      </c>
      <c r="B30" s="138"/>
      <c r="C30" s="138"/>
      <c r="D30" s="138"/>
      <c r="E30" s="138"/>
      <c r="F30" s="138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4</v>
      </c>
      <c r="C32" s="9" t="s">
        <v>5</v>
      </c>
      <c r="D32" s="9" t="s">
        <v>6</v>
      </c>
      <c r="E32" s="9" t="s">
        <v>7</v>
      </c>
      <c r="F32" s="2"/>
    </row>
    <row r="33" spans="1:5" ht="31.5" customHeight="1">
      <c r="A33" s="139" t="s">
        <v>40</v>
      </c>
      <c r="B33" s="139"/>
      <c r="C33" s="139"/>
      <c r="D33" s="12">
        <f>D34</f>
        <v>7.1712</v>
      </c>
      <c r="E33" s="12">
        <f>E34</f>
        <v>0.01</v>
      </c>
    </row>
    <row r="34" spans="1:5" ht="30">
      <c r="A34" s="15">
        <v>1</v>
      </c>
      <c r="B34" s="45" t="s">
        <v>41</v>
      </c>
      <c r="C34" s="45" t="s">
        <v>42</v>
      </c>
      <c r="D34" s="17">
        <f>E34*12*$D$2</f>
        <v>7.1712</v>
      </c>
      <c r="E34" s="46">
        <v>0.01</v>
      </c>
    </row>
    <row r="35" spans="1:5" ht="32.25" customHeight="1">
      <c r="A35" s="139" t="s">
        <v>43</v>
      </c>
      <c r="B35" s="139"/>
      <c r="C35" s="139"/>
      <c r="D35" s="12">
        <f>D36+D37</f>
        <v>57.369600000000005</v>
      </c>
      <c r="E35" s="12">
        <f>E36+E37</f>
        <v>0.08</v>
      </c>
    </row>
    <row r="36" spans="1:5" ht="45">
      <c r="A36" s="15">
        <v>2</v>
      </c>
      <c r="B36" s="45" t="s">
        <v>44</v>
      </c>
      <c r="C36" s="45" t="s">
        <v>45</v>
      </c>
      <c r="D36" s="17">
        <f>E36*$D$2*12</f>
        <v>14.342400000000001</v>
      </c>
      <c r="E36" s="46">
        <v>0.02</v>
      </c>
    </row>
    <row r="37" spans="1:5" ht="15">
      <c r="A37" s="15">
        <v>3</v>
      </c>
      <c r="B37" s="47" t="s">
        <v>46</v>
      </c>
      <c r="C37" s="8" t="s">
        <v>42</v>
      </c>
      <c r="D37" s="17">
        <f>E37*$D$2*12</f>
        <v>43.0272</v>
      </c>
      <c r="E37" s="18">
        <v>0.06</v>
      </c>
    </row>
    <row r="38" spans="1:6" ht="15">
      <c r="A38" s="9"/>
      <c r="B38" s="27" t="s">
        <v>27</v>
      </c>
      <c r="C38" s="27"/>
      <c r="D38" s="48">
        <f>D33+D35</f>
        <v>64.5408</v>
      </c>
      <c r="E38" s="12">
        <f>E33+E35</f>
        <v>0.09</v>
      </c>
      <c r="F38" s="6"/>
    </row>
    <row r="39" spans="1:6" ht="15">
      <c r="A39" s="2"/>
      <c r="B39" s="2"/>
      <c r="C39" s="2"/>
      <c r="D39" s="2"/>
      <c r="E39" s="2"/>
      <c r="F39" s="2"/>
    </row>
    <row r="40" spans="1:6" ht="15">
      <c r="A40" s="34"/>
      <c r="B40" s="34"/>
      <c r="C40" s="34"/>
      <c r="D40" s="34"/>
      <c r="E40" s="34"/>
      <c r="F40" s="35"/>
    </row>
    <row r="41" spans="1:6" ht="105">
      <c r="A41" s="11" t="s">
        <v>28</v>
      </c>
      <c r="B41" s="11" t="s">
        <v>29</v>
      </c>
      <c r="C41" s="11" t="s">
        <v>30</v>
      </c>
      <c r="D41" s="11" t="s">
        <v>31</v>
      </c>
      <c r="E41" s="11" t="s">
        <v>47</v>
      </c>
      <c r="F41" s="11" t="s">
        <v>33</v>
      </c>
    </row>
    <row r="42" spans="1:6" ht="15">
      <c r="A42" s="11">
        <v>1</v>
      </c>
      <c r="B42" s="8" t="s">
        <v>320</v>
      </c>
      <c r="C42" s="11" t="s">
        <v>82</v>
      </c>
      <c r="D42" s="36">
        <v>355</v>
      </c>
      <c r="E42" s="50">
        <f>D42/12/$D$2</f>
        <v>0.49503569834895134</v>
      </c>
      <c r="F42" s="38">
        <v>1</v>
      </c>
    </row>
    <row r="43" spans="1:6" ht="15">
      <c r="A43" s="51"/>
      <c r="B43" s="51" t="s">
        <v>36</v>
      </c>
      <c r="C43" s="51"/>
      <c r="D43" s="52">
        <f>SUM(D42:D42)</f>
        <v>355</v>
      </c>
      <c r="E43" s="53">
        <f>SUM(E42:E42)</f>
        <v>0.49503569834895134</v>
      </c>
      <c r="F43" s="51"/>
    </row>
    <row r="47" spans="2:3" ht="29.25">
      <c r="B47" s="30" t="s">
        <v>453</v>
      </c>
      <c r="C47" s="43">
        <f>C26</f>
        <v>3000.7590203553223</v>
      </c>
    </row>
  </sheetData>
  <mergeCells count="9">
    <mergeCell ref="A1:E1"/>
    <mergeCell ref="A4:E4"/>
    <mergeCell ref="A7:C7"/>
    <mergeCell ref="A13:C13"/>
    <mergeCell ref="A10:C10"/>
    <mergeCell ref="A35:C35"/>
    <mergeCell ref="A16:C16"/>
    <mergeCell ref="A30:F30"/>
    <mergeCell ref="A33:C3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6"/>
  <sheetViews>
    <sheetView zoomScale="97" zoomScaleNormal="97" workbookViewId="0" topLeftCell="A37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7" width="9.125" style="78" customWidth="1"/>
    <col min="8" max="16384" width="9.125" style="3" customWidth="1"/>
  </cols>
  <sheetData>
    <row r="1" spans="1:6" ht="15" customHeight="1">
      <c r="A1" s="138" t="s">
        <v>454</v>
      </c>
      <c r="B1" s="138"/>
      <c r="C1" s="138"/>
      <c r="D1" s="138"/>
      <c r="E1" s="138"/>
      <c r="F1" s="2"/>
    </row>
    <row r="2" spans="1:6" ht="39" customHeight="1">
      <c r="A2" s="2"/>
      <c r="B2" s="1" t="s">
        <v>455</v>
      </c>
      <c r="C2" s="4"/>
      <c r="D2" s="5">
        <v>280.76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SUM(D8:D8)</f>
        <v>148.0283682313223</v>
      </c>
      <c r="E7" s="12">
        <f>SUM(E8:E8)</f>
        <v>0.043936804931650496</v>
      </c>
      <c r="F7" s="19"/>
    </row>
    <row r="8" spans="1:9" ht="15.75" customHeight="1">
      <c r="A8" s="15">
        <v>1</v>
      </c>
      <c r="B8" s="8" t="s">
        <v>12</v>
      </c>
      <c r="C8" s="16" t="s">
        <v>13</v>
      </c>
      <c r="D8" s="17">
        <f>E8*$D$2*12</f>
        <v>148.0283682313223</v>
      </c>
      <c r="E8" s="20">
        <v>0.043936804931650496</v>
      </c>
      <c r="F8" s="21"/>
      <c r="I8" s="126"/>
    </row>
    <row r="9" spans="1:9" ht="15">
      <c r="A9" s="140" t="s">
        <v>64</v>
      </c>
      <c r="B9" s="143"/>
      <c r="C9" s="144"/>
      <c r="D9" s="23">
        <f>SUM(D10:D11)</f>
        <v>117.88873732628605</v>
      </c>
      <c r="E9" s="23">
        <f>SUM(E10:E11)</f>
        <v>0.03499095826990016</v>
      </c>
      <c r="F9" s="21"/>
      <c r="I9" s="126"/>
    </row>
    <row r="10" spans="1:9" ht="15.75" customHeight="1">
      <c r="A10" s="15">
        <v>2</v>
      </c>
      <c r="B10" s="22" t="s">
        <v>17</v>
      </c>
      <c r="C10" s="22" t="s">
        <v>18</v>
      </c>
      <c r="D10" s="17">
        <f>E10*12*$D$2</f>
        <v>52.36188974079251</v>
      </c>
      <c r="E10" s="18">
        <v>0.015541711111742091</v>
      </c>
      <c r="F10" s="13"/>
      <c r="I10" s="126"/>
    </row>
    <row r="11" spans="1:9" ht="60">
      <c r="A11" s="15">
        <v>3</v>
      </c>
      <c r="B11" s="22" t="s">
        <v>19</v>
      </c>
      <c r="C11" s="22" t="s">
        <v>18</v>
      </c>
      <c r="D11" s="17">
        <f>E11*12*$D$2</f>
        <v>65.52684758549353</v>
      </c>
      <c r="E11" s="17">
        <v>0.019449247158158073</v>
      </c>
      <c r="F11" s="2"/>
      <c r="I11" s="126"/>
    </row>
    <row r="12" spans="1:9" ht="15">
      <c r="A12" s="145" t="s">
        <v>67</v>
      </c>
      <c r="B12" s="146"/>
      <c r="C12" s="146"/>
      <c r="D12" s="24">
        <f>SUM(D13:D14)</f>
        <v>1497.8465895676209</v>
      </c>
      <c r="E12" s="24">
        <f>SUM(E13:E14)</f>
        <v>0.44458095572957357</v>
      </c>
      <c r="F12" s="2"/>
      <c r="I12" s="126"/>
    </row>
    <row r="13" spans="1:9" ht="60">
      <c r="A13" s="15">
        <v>4</v>
      </c>
      <c r="B13" s="22" t="s">
        <v>21</v>
      </c>
      <c r="C13" s="22" t="s">
        <v>18</v>
      </c>
      <c r="D13" s="17">
        <f>E13*12*$D$2</f>
        <v>156.5962918665441</v>
      </c>
      <c r="E13" s="17">
        <v>0.046479879572868914</v>
      </c>
      <c r="F13" s="2"/>
      <c r="I13" s="126"/>
    </row>
    <row r="14" spans="1:9" ht="75">
      <c r="A14" s="15">
        <v>5</v>
      </c>
      <c r="B14" s="22" t="s">
        <v>22</v>
      </c>
      <c r="C14" s="22" t="s">
        <v>23</v>
      </c>
      <c r="D14" s="17">
        <f>E14*12*$D$2</f>
        <v>1341.2502977010768</v>
      </c>
      <c r="E14" s="20">
        <v>0.39810107615670465</v>
      </c>
      <c r="F14" s="2"/>
      <c r="I14" s="126"/>
    </row>
    <row r="15" spans="1:9" ht="15">
      <c r="A15" s="145" t="s">
        <v>70</v>
      </c>
      <c r="B15" s="145"/>
      <c r="C15" s="145"/>
      <c r="D15" s="25">
        <f>SUM(D16)</f>
        <v>421.97054780744264</v>
      </c>
      <c r="E15" s="25">
        <f>SUM(E16)</f>
        <v>0.125246517727906</v>
      </c>
      <c r="F15" s="2"/>
      <c r="I15" s="126"/>
    </row>
    <row r="16" spans="1:9" ht="15">
      <c r="A16" s="15">
        <v>6</v>
      </c>
      <c r="B16" s="22" t="s">
        <v>25</v>
      </c>
      <c r="C16" s="22" t="s">
        <v>26</v>
      </c>
      <c r="D16" s="17">
        <f>E16*12*$D$2</f>
        <v>421.97054780744264</v>
      </c>
      <c r="E16" s="26">
        <v>0.125246517727906</v>
      </c>
      <c r="F16" s="2"/>
      <c r="I16" s="126"/>
    </row>
    <row r="17" spans="1:6" ht="15">
      <c r="A17" s="9"/>
      <c r="B17" s="27" t="s">
        <v>27</v>
      </c>
      <c r="C17" s="27"/>
      <c r="D17" s="48">
        <f>D7+D9+D12+D15</f>
        <v>2185.734242932672</v>
      </c>
      <c r="E17" s="12">
        <f>E7+E9+E12+E15</f>
        <v>0.6487552366590302</v>
      </c>
      <c r="F17" s="6"/>
    </row>
    <row r="18" spans="1:6" ht="15">
      <c r="A18" s="29"/>
      <c r="B18" s="30"/>
      <c r="C18" s="31"/>
      <c r="D18" s="32"/>
      <c r="E18" s="33"/>
      <c r="F18" s="2"/>
    </row>
    <row r="19" spans="1:6" ht="15">
      <c r="A19" s="29"/>
      <c r="B19" s="30"/>
      <c r="C19" s="31"/>
      <c r="D19" s="32"/>
      <c r="E19" s="33"/>
      <c r="F19" s="2"/>
    </row>
    <row r="20" spans="1:6" ht="105">
      <c r="A20" s="11" t="s">
        <v>28</v>
      </c>
      <c r="B20" s="11" t="s">
        <v>29</v>
      </c>
      <c r="C20" s="11" t="s">
        <v>30</v>
      </c>
      <c r="D20" s="11" t="s">
        <v>31</v>
      </c>
      <c r="E20" s="11" t="s">
        <v>32</v>
      </c>
      <c r="F20" s="11" t="s">
        <v>33</v>
      </c>
    </row>
    <row r="21" spans="1:6" ht="15">
      <c r="A21" s="11">
        <v>1</v>
      </c>
      <c r="B21" s="8" t="s">
        <v>320</v>
      </c>
      <c r="C21" s="11" t="s">
        <v>456</v>
      </c>
      <c r="D21" s="36">
        <v>7338.77</v>
      </c>
      <c r="E21" s="37">
        <f>D21/12/$D$2</f>
        <v>2.178245357838249</v>
      </c>
      <c r="F21" s="38">
        <v>1</v>
      </c>
    </row>
    <row r="22" spans="1:6" ht="15">
      <c r="A22" s="11"/>
      <c r="B22" s="39" t="s">
        <v>36</v>
      </c>
      <c r="C22" s="10"/>
      <c r="D22" s="54">
        <f>SUM(D21:D21)</f>
        <v>7338.77</v>
      </c>
      <c r="E22" s="40">
        <f>SUM(E21:E21)</f>
        <v>2.178245357838249</v>
      </c>
      <c r="F22" s="41"/>
    </row>
    <row r="23" spans="1:6" ht="15">
      <c r="A23" s="134"/>
      <c r="B23" s="135"/>
      <c r="C23" s="136"/>
      <c r="D23" s="137"/>
      <c r="E23" s="119"/>
      <c r="F23" s="89"/>
    </row>
    <row r="24" spans="1:6" ht="15">
      <c r="A24" s="29"/>
      <c r="B24" s="30"/>
      <c r="C24" s="31"/>
      <c r="D24" s="32"/>
      <c r="E24" s="33"/>
      <c r="F24" s="2"/>
    </row>
    <row r="25" spans="1:6" ht="29.25">
      <c r="A25" s="29"/>
      <c r="B25" s="30" t="s">
        <v>37</v>
      </c>
      <c r="C25" s="43">
        <f>D17+D22</f>
        <v>9524.504242932671</v>
      </c>
      <c r="D25" s="43"/>
      <c r="E25" s="43"/>
      <c r="F25" s="42"/>
    </row>
    <row r="26" spans="1:6" ht="15">
      <c r="A26" s="29"/>
      <c r="B26" s="30" t="s">
        <v>38</v>
      </c>
      <c r="C26" s="44">
        <f>E17+E22</f>
        <v>2.827000594497279</v>
      </c>
      <c r="D26" s="42"/>
      <c r="E26" s="42"/>
      <c r="F26" s="42"/>
    </row>
    <row r="27" spans="1:6" ht="15">
      <c r="A27" s="29"/>
      <c r="B27" s="30"/>
      <c r="C27" s="44"/>
      <c r="D27" s="42"/>
      <c r="E27" s="42"/>
      <c r="F27" s="42"/>
    </row>
    <row r="28" spans="1:6" ht="48" customHeight="1">
      <c r="A28" s="2"/>
      <c r="B28" s="2"/>
      <c r="C28" s="2"/>
      <c r="D28" s="2"/>
      <c r="E28" s="2"/>
      <c r="F28" s="2"/>
    </row>
    <row r="29" spans="1:6" ht="33" customHeight="1">
      <c r="A29" s="138" t="s">
        <v>39</v>
      </c>
      <c r="B29" s="138"/>
      <c r="C29" s="138"/>
      <c r="D29" s="138"/>
      <c r="E29" s="138"/>
      <c r="F29" s="13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4</v>
      </c>
      <c r="C31" s="9" t="s">
        <v>5</v>
      </c>
      <c r="D31" s="9" t="s">
        <v>6</v>
      </c>
      <c r="E31" s="9" t="s">
        <v>7</v>
      </c>
      <c r="F31" s="2"/>
    </row>
    <row r="32" spans="1:5" ht="31.5" customHeight="1">
      <c r="A32" s="139" t="s">
        <v>40</v>
      </c>
      <c r="B32" s="139"/>
      <c r="C32" s="139"/>
      <c r="D32" s="12">
        <f>D33</f>
        <v>33.691199999999995</v>
      </c>
      <c r="E32" s="12">
        <f>E33</f>
        <v>0.01</v>
      </c>
    </row>
    <row r="33" spans="1:5" ht="30">
      <c r="A33" s="15">
        <v>1</v>
      </c>
      <c r="B33" s="45" t="s">
        <v>41</v>
      </c>
      <c r="C33" s="45" t="s">
        <v>42</v>
      </c>
      <c r="D33" s="17">
        <f>E33*12*$D$2</f>
        <v>33.691199999999995</v>
      </c>
      <c r="E33" s="46">
        <v>0.01</v>
      </c>
    </row>
    <row r="34" spans="1:5" ht="32.25" customHeight="1">
      <c r="A34" s="139" t="s">
        <v>43</v>
      </c>
      <c r="B34" s="139"/>
      <c r="C34" s="139"/>
      <c r="D34" s="12">
        <f>D35+D36</f>
        <v>269.52959999999996</v>
      </c>
      <c r="E34" s="12">
        <f>E35+E36</f>
        <v>0.08</v>
      </c>
    </row>
    <row r="35" spans="1:5" ht="45">
      <c r="A35" s="15">
        <v>2</v>
      </c>
      <c r="B35" s="45" t="s">
        <v>44</v>
      </c>
      <c r="C35" s="45" t="s">
        <v>45</v>
      </c>
      <c r="D35" s="17">
        <f>E35*$D$2*12</f>
        <v>67.38239999999999</v>
      </c>
      <c r="E35" s="46">
        <v>0.02</v>
      </c>
    </row>
    <row r="36" spans="1:5" ht="15">
      <c r="A36" s="15">
        <v>3</v>
      </c>
      <c r="B36" s="47" t="s">
        <v>46</v>
      </c>
      <c r="C36" s="8" t="s">
        <v>42</v>
      </c>
      <c r="D36" s="17">
        <f>E36*$D$2*12</f>
        <v>202.14719999999997</v>
      </c>
      <c r="E36" s="18">
        <v>0.06</v>
      </c>
    </row>
    <row r="37" spans="1:6" ht="15">
      <c r="A37" s="9"/>
      <c r="B37" s="27" t="s">
        <v>27</v>
      </c>
      <c r="C37" s="27"/>
      <c r="D37" s="48">
        <f>D32+D34</f>
        <v>303.22079999999994</v>
      </c>
      <c r="E37" s="12">
        <f>E32+E34</f>
        <v>0.09</v>
      </c>
      <c r="F37" s="6"/>
    </row>
    <row r="38" spans="1:6" ht="15">
      <c r="A38" s="2"/>
      <c r="B38" s="2"/>
      <c r="C38" s="2"/>
      <c r="D38" s="2"/>
      <c r="E38" s="2"/>
      <c r="F38" s="2"/>
    </row>
    <row r="39" spans="1:6" ht="15">
      <c r="A39" s="34"/>
      <c r="B39" s="34"/>
      <c r="C39" s="34"/>
      <c r="D39" s="34"/>
      <c r="E39" s="34"/>
      <c r="F39" s="35"/>
    </row>
    <row r="40" spans="1:6" ht="105">
      <c r="A40" s="11" t="s">
        <v>28</v>
      </c>
      <c r="B40" s="11" t="s">
        <v>29</v>
      </c>
      <c r="C40" s="11" t="s">
        <v>30</v>
      </c>
      <c r="D40" s="11" t="s">
        <v>31</v>
      </c>
      <c r="E40" s="11" t="s">
        <v>47</v>
      </c>
      <c r="F40" s="11" t="s">
        <v>33</v>
      </c>
    </row>
    <row r="41" spans="1:6" ht="15">
      <c r="A41" s="11">
        <v>1</v>
      </c>
      <c r="B41" s="8" t="s">
        <v>320</v>
      </c>
      <c r="C41" s="11" t="s">
        <v>81</v>
      </c>
      <c r="D41" s="36">
        <v>1658.48</v>
      </c>
      <c r="E41" s="50">
        <f>D41/12/$D$2</f>
        <v>0.4922591062354562</v>
      </c>
      <c r="F41" s="38">
        <v>1</v>
      </c>
    </row>
    <row r="42" spans="1:6" ht="15">
      <c r="A42" s="51"/>
      <c r="B42" s="51" t="s">
        <v>36</v>
      </c>
      <c r="C42" s="51"/>
      <c r="D42" s="52">
        <f>SUM(D41:D41)</f>
        <v>1658.48</v>
      </c>
      <c r="E42" s="53">
        <f>SUM(E41:E41)</f>
        <v>0.4922591062354562</v>
      </c>
      <c r="F42" s="51"/>
    </row>
    <row r="46" spans="2:3" ht="29.25">
      <c r="B46" s="30" t="s">
        <v>457</v>
      </c>
      <c r="C46" s="43">
        <f>C25</f>
        <v>9524.504242932671</v>
      </c>
    </row>
  </sheetData>
  <mergeCells count="9">
    <mergeCell ref="A34:C34"/>
    <mergeCell ref="A15:C15"/>
    <mergeCell ref="A29:F29"/>
    <mergeCell ref="A32:C32"/>
    <mergeCell ref="A1:E1"/>
    <mergeCell ref="A4:E4"/>
    <mergeCell ref="A7:C7"/>
    <mergeCell ref="A12:C12"/>
    <mergeCell ref="A9:C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45"/>
  <sheetViews>
    <sheetView zoomScale="97" zoomScaleNormal="97" workbookViewId="0" topLeftCell="A34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7" width="9.125" style="78" customWidth="1"/>
    <col min="8" max="16384" width="9.125" style="3" customWidth="1"/>
  </cols>
  <sheetData>
    <row r="1" spans="1:6" ht="15" customHeight="1">
      <c r="A1" s="138" t="s">
        <v>458</v>
      </c>
      <c r="B1" s="138"/>
      <c r="C1" s="138"/>
      <c r="D1" s="138"/>
      <c r="E1" s="138"/>
      <c r="F1" s="2"/>
    </row>
    <row r="2" spans="1:6" ht="39" customHeight="1">
      <c r="A2" s="2"/>
      <c r="B2" s="1" t="s">
        <v>459</v>
      </c>
      <c r="C2" s="4"/>
      <c r="D2" s="5">
        <v>163.41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9" ht="15">
      <c r="A7" s="140" t="s">
        <v>76</v>
      </c>
      <c r="B7" s="143"/>
      <c r="C7" s="144"/>
      <c r="D7" s="23">
        <f>SUM(D8:D9)</f>
        <v>73.8645710161046</v>
      </c>
      <c r="E7" s="23">
        <f>SUM(E8:E9)</f>
        <v>0.037668324570153094</v>
      </c>
      <c r="F7" s="21"/>
      <c r="I7" s="126"/>
    </row>
    <row r="8" spans="1:9" ht="15.75" customHeight="1">
      <c r="A8" s="15">
        <v>1</v>
      </c>
      <c r="B8" s="22" t="s">
        <v>17</v>
      </c>
      <c r="C8" s="22" t="s">
        <v>18</v>
      </c>
      <c r="D8" s="17">
        <f>E8*12*$D$2</f>
        <v>33.222848978215744</v>
      </c>
      <c r="E8" s="18">
        <v>0.01694248055923533</v>
      </c>
      <c r="F8" s="13"/>
      <c r="I8" s="126"/>
    </row>
    <row r="9" spans="1:9" ht="60">
      <c r="A9" s="15">
        <v>2</v>
      </c>
      <c r="B9" s="22" t="s">
        <v>19</v>
      </c>
      <c r="C9" s="22" t="s">
        <v>18</v>
      </c>
      <c r="D9" s="17">
        <f>E9*12*$D$2</f>
        <v>40.641722037888854</v>
      </c>
      <c r="E9" s="17">
        <v>0.02072584401091776</v>
      </c>
      <c r="F9" s="2"/>
      <c r="I9" s="126"/>
    </row>
    <row r="10" spans="1:9" ht="15">
      <c r="A10" s="145" t="s">
        <v>77</v>
      </c>
      <c r="B10" s="146"/>
      <c r="C10" s="146"/>
      <c r="D10" s="24">
        <f>SUM(D11:D12)</f>
        <v>988.1136028441522</v>
      </c>
      <c r="E10" s="24">
        <f>SUM(E11:E12)</f>
        <v>0.5039030673582564</v>
      </c>
      <c r="F10" s="2"/>
      <c r="I10" s="126"/>
    </row>
    <row r="11" spans="1:9" ht="60">
      <c r="A11" s="15">
        <v>3</v>
      </c>
      <c r="B11" s="22" t="s">
        <v>21</v>
      </c>
      <c r="C11" s="22" t="s">
        <v>18</v>
      </c>
      <c r="D11" s="17">
        <f>E11*12*$D$2</f>
        <v>113.54137806075596</v>
      </c>
      <c r="E11" s="17">
        <v>0.057902095985943314</v>
      </c>
      <c r="F11" s="2"/>
      <c r="I11" s="126"/>
    </row>
    <row r="12" spans="1:9" ht="75">
      <c r="A12" s="15">
        <v>4</v>
      </c>
      <c r="B12" s="22" t="s">
        <v>22</v>
      </c>
      <c r="C12" s="22" t="s">
        <v>23</v>
      </c>
      <c r="D12" s="17">
        <f>E12*12*$D$2</f>
        <v>874.5722247833962</v>
      </c>
      <c r="E12" s="20">
        <v>0.4460009713723131</v>
      </c>
      <c r="F12" s="2"/>
      <c r="I12" s="126"/>
    </row>
    <row r="13" spans="1:9" ht="15">
      <c r="A13" s="145" t="s">
        <v>80</v>
      </c>
      <c r="B13" s="145"/>
      <c r="C13" s="145"/>
      <c r="D13" s="25">
        <f>SUM(D14)</f>
        <v>234.6833889950408</v>
      </c>
      <c r="E13" s="25">
        <f>SUM(E14)</f>
        <v>0.119680246514412</v>
      </c>
      <c r="F13" s="2"/>
      <c r="I13" s="126"/>
    </row>
    <row r="14" spans="1:9" ht="15">
      <c r="A14" s="15">
        <v>5</v>
      </c>
      <c r="B14" s="22" t="s">
        <v>25</v>
      </c>
      <c r="C14" s="22" t="s">
        <v>26</v>
      </c>
      <c r="D14" s="17">
        <f>E14*12*$D$2</f>
        <v>234.6833889950408</v>
      </c>
      <c r="E14" s="26">
        <v>0.119680246514412</v>
      </c>
      <c r="F14" s="2"/>
      <c r="I14" s="126"/>
    </row>
    <row r="15" spans="1:6" ht="15">
      <c r="A15" s="9"/>
      <c r="B15" s="27" t="s">
        <v>27</v>
      </c>
      <c r="C15" s="27"/>
      <c r="D15" s="48">
        <f>D7+D10+D13</f>
        <v>1296.6615628552977</v>
      </c>
      <c r="E15" s="12">
        <f>E7+E10+E13</f>
        <v>0.6612516384428215</v>
      </c>
      <c r="F15" s="6"/>
    </row>
    <row r="16" spans="1:6" ht="15">
      <c r="A16" s="29"/>
      <c r="B16" s="30"/>
      <c r="C16" s="31"/>
      <c r="D16" s="32"/>
      <c r="E16" s="33"/>
      <c r="F16" s="2"/>
    </row>
    <row r="17" spans="1:6" ht="15">
      <c r="A17" s="29"/>
      <c r="B17" s="30"/>
      <c r="C17" s="31"/>
      <c r="D17" s="32"/>
      <c r="E17" s="33"/>
      <c r="F17" s="2"/>
    </row>
    <row r="18" spans="1:6" ht="105">
      <c r="A18" s="11" t="s">
        <v>28</v>
      </c>
      <c r="B18" s="11" t="s">
        <v>29</v>
      </c>
      <c r="C18" s="11" t="s">
        <v>30</v>
      </c>
      <c r="D18" s="11" t="s">
        <v>31</v>
      </c>
      <c r="E18" s="11" t="s">
        <v>32</v>
      </c>
      <c r="F18" s="11" t="s">
        <v>33</v>
      </c>
    </row>
    <row r="19" spans="1:6" ht="15">
      <c r="A19" s="11">
        <v>1</v>
      </c>
      <c r="B19" s="8" t="s">
        <v>320</v>
      </c>
      <c r="C19" s="11" t="s">
        <v>141</v>
      </c>
      <c r="D19" s="36">
        <v>4290</v>
      </c>
      <c r="E19" s="37">
        <f>D19/12/$D$2</f>
        <v>2.1877486077963404</v>
      </c>
      <c r="F19" s="38">
        <v>1</v>
      </c>
    </row>
    <row r="20" spans="1:6" ht="15">
      <c r="A20" s="11"/>
      <c r="B20" s="39" t="s">
        <v>36</v>
      </c>
      <c r="C20" s="10"/>
      <c r="D20" s="54">
        <f>SUM(D19:D19)</f>
        <v>4290</v>
      </c>
      <c r="E20" s="40">
        <f>SUM(E19:E19)</f>
        <v>2.1877486077963404</v>
      </c>
      <c r="F20" s="41"/>
    </row>
    <row r="21" spans="1:6" ht="15">
      <c r="A21" s="134"/>
      <c r="B21" s="135"/>
      <c r="C21" s="136"/>
      <c r="D21" s="137"/>
      <c r="E21" s="119"/>
      <c r="F21" s="89"/>
    </row>
    <row r="22" spans="1:6" ht="15">
      <c r="A22" s="29"/>
      <c r="B22" s="30"/>
      <c r="C22" s="31"/>
      <c r="D22" s="32"/>
      <c r="E22" s="33"/>
      <c r="F22" s="2"/>
    </row>
    <row r="23" spans="1:6" ht="15">
      <c r="A23" s="29"/>
      <c r="B23" s="30"/>
      <c r="C23" s="31"/>
      <c r="D23" s="32"/>
      <c r="E23" s="33"/>
      <c r="F23" s="2"/>
    </row>
    <row r="24" spans="1:6" ht="29.25">
      <c r="A24" s="29"/>
      <c r="B24" s="30" t="s">
        <v>37</v>
      </c>
      <c r="C24" s="43">
        <f>D15+D20</f>
        <v>5586.661562855297</v>
      </c>
      <c r="D24" s="43"/>
      <c r="E24" s="43"/>
      <c r="F24" s="42"/>
    </row>
    <row r="25" spans="1:6" ht="15">
      <c r="A25" s="29"/>
      <c r="B25" s="30" t="s">
        <v>38</v>
      </c>
      <c r="C25" s="44">
        <f>E15+E20</f>
        <v>2.8490002462391617</v>
      </c>
      <c r="D25" s="42"/>
      <c r="E25" s="42"/>
      <c r="F25" s="42"/>
    </row>
    <row r="26" spans="1:6" ht="15">
      <c r="A26" s="29"/>
      <c r="B26" s="30"/>
      <c r="C26" s="44"/>
      <c r="D26" s="42"/>
      <c r="E26" s="42"/>
      <c r="F26" s="42"/>
    </row>
    <row r="27" spans="1:6" ht="65.25" customHeight="1">
      <c r="A27" s="2"/>
      <c r="B27" s="2"/>
      <c r="C27" s="2"/>
      <c r="D27" s="2"/>
      <c r="E27" s="2"/>
      <c r="F27" s="2"/>
    </row>
    <row r="28" spans="1:6" ht="33" customHeight="1">
      <c r="A28" s="138" t="s">
        <v>39</v>
      </c>
      <c r="B28" s="138"/>
      <c r="C28" s="138"/>
      <c r="D28" s="138"/>
      <c r="E28" s="138"/>
      <c r="F28" s="138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4</v>
      </c>
      <c r="C30" s="9" t="s">
        <v>5</v>
      </c>
      <c r="D30" s="9" t="s">
        <v>6</v>
      </c>
      <c r="E30" s="9" t="s">
        <v>7</v>
      </c>
      <c r="F30" s="2"/>
    </row>
    <row r="31" spans="1:5" ht="31.5" customHeight="1">
      <c r="A31" s="139" t="s">
        <v>40</v>
      </c>
      <c r="B31" s="139"/>
      <c r="C31" s="139"/>
      <c r="D31" s="12">
        <f>D32</f>
        <v>19.609199999999998</v>
      </c>
      <c r="E31" s="12">
        <f>E32</f>
        <v>0.01</v>
      </c>
    </row>
    <row r="32" spans="1:5" ht="30">
      <c r="A32" s="15">
        <v>1</v>
      </c>
      <c r="B32" s="45" t="s">
        <v>41</v>
      </c>
      <c r="C32" s="45" t="s">
        <v>42</v>
      </c>
      <c r="D32" s="17">
        <f>E32*12*$D$2</f>
        <v>19.609199999999998</v>
      </c>
      <c r="E32" s="46">
        <v>0.01</v>
      </c>
    </row>
    <row r="33" spans="1:5" ht="32.25" customHeight="1">
      <c r="A33" s="139" t="s">
        <v>43</v>
      </c>
      <c r="B33" s="139"/>
      <c r="C33" s="139"/>
      <c r="D33" s="12">
        <f>D34+D35</f>
        <v>156.87359999999998</v>
      </c>
      <c r="E33" s="12">
        <f>E34+E35</f>
        <v>0.08</v>
      </c>
    </row>
    <row r="34" spans="1:5" ht="45">
      <c r="A34" s="15">
        <v>2</v>
      </c>
      <c r="B34" s="45" t="s">
        <v>44</v>
      </c>
      <c r="C34" s="45" t="s">
        <v>45</v>
      </c>
      <c r="D34" s="17">
        <f>E34*$D$2*12</f>
        <v>39.2184</v>
      </c>
      <c r="E34" s="46">
        <v>0.02</v>
      </c>
    </row>
    <row r="35" spans="1:5" ht="15">
      <c r="A35" s="15">
        <v>3</v>
      </c>
      <c r="B35" s="47" t="s">
        <v>46</v>
      </c>
      <c r="C35" s="8" t="s">
        <v>42</v>
      </c>
      <c r="D35" s="17">
        <f>E35*$D$2*12</f>
        <v>117.65519999999998</v>
      </c>
      <c r="E35" s="18">
        <v>0.06</v>
      </c>
    </row>
    <row r="36" spans="1:6" ht="15">
      <c r="A36" s="9"/>
      <c r="B36" s="27" t="s">
        <v>27</v>
      </c>
      <c r="C36" s="27"/>
      <c r="D36" s="48">
        <f>D31+D33</f>
        <v>176.48279999999997</v>
      </c>
      <c r="E36" s="12">
        <f>E31+E33</f>
        <v>0.09</v>
      </c>
      <c r="F36" s="6"/>
    </row>
    <row r="37" spans="1:6" ht="15">
      <c r="A37" s="2"/>
      <c r="B37" s="2"/>
      <c r="C37" s="2"/>
      <c r="D37" s="2"/>
      <c r="E37" s="2"/>
      <c r="F37" s="2"/>
    </row>
    <row r="38" spans="1:6" ht="15">
      <c r="A38" s="34"/>
      <c r="B38" s="34"/>
      <c r="C38" s="34"/>
      <c r="D38" s="34"/>
      <c r="E38" s="34"/>
      <c r="F38" s="35"/>
    </row>
    <row r="39" spans="1:6" ht="105">
      <c r="A39" s="11" t="s">
        <v>28</v>
      </c>
      <c r="B39" s="11" t="s">
        <v>29</v>
      </c>
      <c r="C39" s="11" t="s">
        <v>30</v>
      </c>
      <c r="D39" s="11" t="s">
        <v>31</v>
      </c>
      <c r="E39" s="11" t="s">
        <v>47</v>
      </c>
      <c r="F39" s="11" t="s">
        <v>33</v>
      </c>
    </row>
    <row r="40" spans="1:6" ht="15">
      <c r="A40" s="11">
        <v>1</v>
      </c>
      <c r="B40" s="8" t="s">
        <v>320</v>
      </c>
      <c r="C40" s="11" t="s">
        <v>171</v>
      </c>
      <c r="D40" s="36">
        <v>975</v>
      </c>
      <c r="E40" s="50">
        <f>D40/12/$D$2</f>
        <v>0.4972155926809865</v>
      </c>
      <c r="F40" s="38">
        <v>1</v>
      </c>
    </row>
    <row r="41" spans="1:6" ht="15">
      <c r="A41" s="51"/>
      <c r="B41" s="51" t="s">
        <v>36</v>
      </c>
      <c r="C41" s="51"/>
      <c r="D41" s="52">
        <f>SUM(D40:D40)</f>
        <v>975</v>
      </c>
      <c r="E41" s="53">
        <f>SUM(E40:E40)</f>
        <v>0.4972155926809865</v>
      </c>
      <c r="F41" s="51"/>
    </row>
    <row r="45" spans="2:3" ht="29.25">
      <c r="B45" s="30" t="s">
        <v>460</v>
      </c>
      <c r="C45" s="43">
        <f>C24</f>
        <v>5586.661562855297</v>
      </c>
    </row>
  </sheetData>
  <mergeCells count="8">
    <mergeCell ref="A1:E1"/>
    <mergeCell ref="A4:E4"/>
    <mergeCell ref="A10:C10"/>
    <mergeCell ref="A7:C7"/>
    <mergeCell ref="A33:C33"/>
    <mergeCell ref="A13:C13"/>
    <mergeCell ref="A28:F28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51"/>
  <sheetViews>
    <sheetView zoomScale="97" zoomScaleNormal="97" workbookViewId="0" topLeftCell="A10">
      <selection activeCell="A38" sqref="A38: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38" t="s">
        <v>461</v>
      </c>
      <c r="B1" s="138"/>
      <c r="C1" s="138"/>
      <c r="D1" s="138"/>
      <c r="E1" s="138"/>
      <c r="F1" s="2"/>
    </row>
    <row r="2" spans="1:6" ht="15">
      <c r="A2" s="2"/>
      <c r="B2" s="1" t="s">
        <v>462</v>
      </c>
      <c r="C2" s="4"/>
      <c r="D2" s="5">
        <v>417.79</v>
      </c>
      <c r="E2" s="6" t="s">
        <v>2</v>
      </c>
      <c r="F2" s="2"/>
    </row>
    <row r="3" spans="1:6" ht="11.25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6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30.75" customHeight="1">
      <c r="A7" s="145" t="s">
        <v>8</v>
      </c>
      <c r="B7" s="146"/>
      <c r="C7" s="146"/>
      <c r="D7" s="12">
        <f>SUM(D8:D11)</f>
        <v>6702.527346011149</v>
      </c>
      <c r="E7" s="12">
        <f>SUM(E8:E11)</f>
        <v>1.336901183611214</v>
      </c>
      <c r="F7" s="13"/>
    </row>
    <row r="8" spans="1:6" ht="15.75" customHeight="1">
      <c r="A8" s="15">
        <v>1</v>
      </c>
      <c r="B8" s="8" t="s">
        <v>153</v>
      </c>
      <c r="C8" s="16" t="s">
        <v>147</v>
      </c>
      <c r="D8" s="17">
        <f>E8*$D$2*12</f>
        <v>581.0468993303216</v>
      </c>
      <c r="E8" s="18">
        <v>0.11589692176498591</v>
      </c>
      <c r="F8" s="2"/>
    </row>
    <row r="9" spans="1:6" ht="30">
      <c r="A9" s="15">
        <v>2</v>
      </c>
      <c r="B9" s="8" t="s">
        <v>158</v>
      </c>
      <c r="C9" s="22" t="s">
        <v>149</v>
      </c>
      <c r="D9" s="17">
        <f>E9*$D$2*12</f>
        <v>742.815638348419</v>
      </c>
      <c r="E9" s="17">
        <v>0.14816367839273697</v>
      </c>
      <c r="F9" s="2"/>
    </row>
    <row r="10" spans="1:6" ht="60">
      <c r="A10" s="15">
        <v>3</v>
      </c>
      <c r="B10" s="16" t="s">
        <v>159</v>
      </c>
      <c r="C10" s="16" t="s">
        <v>160</v>
      </c>
      <c r="D10" s="17">
        <f>E10*$D$2*12</f>
        <v>3961.683404524901</v>
      </c>
      <c r="E10" s="17">
        <v>0.7902062847612638</v>
      </c>
      <c r="F10" s="2"/>
    </row>
    <row r="11" spans="1:6" ht="15.75" customHeight="1">
      <c r="A11" s="15">
        <v>4</v>
      </c>
      <c r="B11" s="22" t="s">
        <v>46</v>
      </c>
      <c r="C11" s="22" t="s">
        <v>161</v>
      </c>
      <c r="D11" s="17">
        <f>E11*$D$2*12</f>
        <v>1416.9814038075071</v>
      </c>
      <c r="E11" s="18">
        <v>0.28263429869222717</v>
      </c>
      <c r="F11" s="2"/>
    </row>
    <row r="12" spans="1:6" ht="15">
      <c r="A12" s="140" t="s">
        <v>64</v>
      </c>
      <c r="B12" s="143"/>
      <c r="C12" s="144"/>
      <c r="D12" s="23">
        <f>SUM(D13:D14)</f>
        <v>244.54774093719823</v>
      </c>
      <c r="E12" s="23">
        <f>SUM(E13:E14)</f>
        <v>0.04877804258463147</v>
      </c>
      <c r="F12" s="21"/>
    </row>
    <row r="13" spans="1:6" ht="15.75" customHeight="1">
      <c r="A13" s="15">
        <v>5</v>
      </c>
      <c r="B13" s="22" t="s">
        <v>17</v>
      </c>
      <c r="C13" s="22" t="s">
        <v>18</v>
      </c>
      <c r="D13" s="17">
        <f>E13*12*$D$2</f>
        <v>69.36131214738113</v>
      </c>
      <c r="E13" s="18">
        <v>0.013834963368235462</v>
      </c>
      <c r="F13" s="13"/>
    </row>
    <row r="14" spans="1:6" ht="60">
      <c r="A14" s="15">
        <v>6</v>
      </c>
      <c r="B14" s="22" t="s">
        <v>19</v>
      </c>
      <c r="C14" s="22" t="s">
        <v>18</v>
      </c>
      <c r="D14" s="17">
        <f>E14*12*$D$2</f>
        <v>175.18642878981709</v>
      </c>
      <c r="E14" s="17">
        <v>0.03494307921639601</v>
      </c>
      <c r="F14" s="2"/>
    </row>
    <row r="15" spans="1:6" ht="15">
      <c r="A15" s="145" t="s">
        <v>67</v>
      </c>
      <c r="B15" s="146"/>
      <c r="C15" s="146"/>
      <c r="D15" s="24">
        <f>SUM(D16:D17)</f>
        <v>4308.979746818867</v>
      </c>
      <c r="E15" s="24">
        <f>SUM(E16:E17)</f>
        <v>0.8594787945337103</v>
      </c>
      <c r="F15" s="2"/>
    </row>
    <row r="16" spans="1:6" ht="60">
      <c r="A16" s="15">
        <v>7</v>
      </c>
      <c r="B16" s="22" t="s">
        <v>21</v>
      </c>
      <c r="C16" s="22" t="s">
        <v>18</v>
      </c>
      <c r="D16" s="17">
        <f>E16*12*$D$2</f>
        <v>505.27584957247245</v>
      </c>
      <c r="E16" s="17">
        <v>0.10078345771250158</v>
      </c>
      <c r="F16" s="2"/>
    </row>
    <row r="17" spans="1:6" ht="75">
      <c r="A17" s="15">
        <v>8</v>
      </c>
      <c r="B17" s="22" t="s">
        <v>22</v>
      </c>
      <c r="C17" s="22" t="s">
        <v>23</v>
      </c>
      <c r="D17" s="17">
        <f>E17*12*$D$2</f>
        <v>3803.7038972463947</v>
      </c>
      <c r="E17" s="20">
        <v>0.7586953368212088</v>
      </c>
      <c r="F17" s="2"/>
    </row>
    <row r="18" spans="1:6" ht="15">
      <c r="A18" s="145" t="s">
        <v>70</v>
      </c>
      <c r="B18" s="145"/>
      <c r="C18" s="145"/>
      <c r="D18" s="25">
        <f>SUM(D19)</f>
        <v>1045.0439999999987</v>
      </c>
      <c r="E18" s="25">
        <f>SUM(E19)</f>
        <v>0.20844682735345482</v>
      </c>
      <c r="F18" s="2"/>
    </row>
    <row r="19" spans="1:6" ht="15">
      <c r="A19" s="15">
        <v>9</v>
      </c>
      <c r="B19" s="22" t="s">
        <v>25</v>
      </c>
      <c r="C19" s="22" t="s">
        <v>26</v>
      </c>
      <c r="D19" s="17">
        <f>E19*12*$D$2</f>
        <v>1045.0439999999987</v>
      </c>
      <c r="E19" s="26">
        <v>0.20844682735345482</v>
      </c>
      <c r="F19" s="2"/>
    </row>
    <row r="20" spans="1:6" ht="15">
      <c r="A20" s="145" t="s">
        <v>463</v>
      </c>
      <c r="B20" s="145"/>
      <c r="C20" s="145"/>
      <c r="D20" s="25">
        <f>SUM(D21:D21)</f>
        <v>101.773644</v>
      </c>
      <c r="E20" s="25">
        <f>SUM(E21:E21)</f>
        <v>0.0203</v>
      </c>
      <c r="F20" s="2"/>
    </row>
    <row r="21" spans="1:6" ht="30">
      <c r="A21" s="15">
        <v>10</v>
      </c>
      <c r="B21" s="22" t="s">
        <v>152</v>
      </c>
      <c r="C21" s="22" t="s">
        <v>15</v>
      </c>
      <c r="D21" s="17">
        <f>E21*12*$D$2</f>
        <v>101.773644</v>
      </c>
      <c r="E21" s="20">
        <v>0.0203</v>
      </c>
      <c r="F21" s="2"/>
    </row>
    <row r="22" spans="1:6" ht="15">
      <c r="A22" s="9"/>
      <c r="B22" s="27" t="s">
        <v>27</v>
      </c>
      <c r="C22" s="27"/>
      <c r="D22" s="48">
        <f>D7+D12+D15+D18+D20</f>
        <v>12402.872477767214</v>
      </c>
      <c r="E22" s="12">
        <f>E7+E12+E15+E18+E20</f>
        <v>2.473904848083011</v>
      </c>
      <c r="F22" s="6"/>
    </row>
    <row r="23" spans="1:6" ht="6" customHeight="1">
      <c r="A23" s="29"/>
      <c r="B23" s="30"/>
      <c r="C23" s="31"/>
      <c r="D23" s="32"/>
      <c r="E23" s="33"/>
      <c r="F23" s="2"/>
    </row>
    <row r="24" spans="1:6" ht="7.5" customHeight="1">
      <c r="A24" s="34"/>
      <c r="B24" s="34"/>
      <c r="C24" s="34"/>
      <c r="D24" s="34"/>
      <c r="E24" s="34"/>
      <c r="F24" s="35"/>
    </row>
    <row r="25" spans="1:7" ht="105">
      <c r="A25" s="11" t="s">
        <v>28</v>
      </c>
      <c r="B25" s="11" t="s">
        <v>29</v>
      </c>
      <c r="C25" s="11" t="s">
        <v>30</v>
      </c>
      <c r="D25" s="11" t="s">
        <v>31</v>
      </c>
      <c r="E25" s="11" t="s">
        <v>32</v>
      </c>
      <c r="F25" s="11" t="s">
        <v>33</v>
      </c>
      <c r="G25" s="78"/>
    </row>
    <row r="26" spans="1:7" ht="15">
      <c r="A26" s="11">
        <v>1</v>
      </c>
      <c r="B26" s="8" t="s">
        <v>320</v>
      </c>
      <c r="C26" s="11" t="s">
        <v>464</v>
      </c>
      <c r="D26" s="36">
        <v>10924.65</v>
      </c>
      <c r="E26" s="37">
        <f>D26/12/$D$2</f>
        <v>2.1790552670001673</v>
      </c>
      <c r="F26" s="38">
        <v>1</v>
      </c>
      <c r="G26" s="78"/>
    </row>
    <row r="27" spans="1:7" ht="15">
      <c r="A27" s="11"/>
      <c r="B27" s="39" t="s">
        <v>36</v>
      </c>
      <c r="C27" s="10"/>
      <c r="D27" s="54">
        <f>SUM(D26:D26)</f>
        <v>10924.65</v>
      </c>
      <c r="E27" s="40">
        <f>SUM(E26:E26)</f>
        <v>2.1790552670001673</v>
      </c>
      <c r="F27" s="41"/>
      <c r="G27" s="78"/>
    </row>
    <row r="28" spans="1:6" ht="6.75" customHeight="1">
      <c r="A28" s="29"/>
      <c r="B28" s="30"/>
      <c r="C28" s="42"/>
      <c r="D28" s="42"/>
      <c r="E28" s="42"/>
      <c r="F28" s="42"/>
    </row>
    <row r="29" spans="1:6" ht="29.25">
      <c r="A29" s="29"/>
      <c r="B29" s="30" t="s">
        <v>37</v>
      </c>
      <c r="C29" s="43">
        <f>D22+D27</f>
        <v>23327.522477767212</v>
      </c>
      <c r="D29" s="43"/>
      <c r="E29" s="43"/>
      <c r="F29" s="42"/>
    </row>
    <row r="30" spans="1:6" ht="15">
      <c r="A30" s="29"/>
      <c r="B30" s="30" t="s">
        <v>38</v>
      </c>
      <c r="C30" s="44">
        <f>E22+E27</f>
        <v>4.652960115083179</v>
      </c>
      <c r="D30" s="42"/>
      <c r="E30" s="42"/>
      <c r="F30" s="42"/>
    </row>
    <row r="31" spans="1:6" ht="3.75" customHeight="1">
      <c r="A31" s="29"/>
      <c r="B31" s="30"/>
      <c r="C31" s="44"/>
      <c r="D31" s="42"/>
      <c r="E31" s="42"/>
      <c r="F31" s="42"/>
    </row>
    <row r="32" spans="1:6" ht="15">
      <c r="A32" s="2"/>
      <c r="B32" s="2"/>
      <c r="C32" s="2"/>
      <c r="D32" s="2"/>
      <c r="E32" s="2"/>
      <c r="F32" s="2"/>
    </row>
    <row r="33" spans="1:6" ht="33" customHeight="1">
      <c r="A33" s="138" t="s">
        <v>39</v>
      </c>
      <c r="B33" s="138"/>
      <c r="C33" s="138"/>
      <c r="D33" s="138"/>
      <c r="E33" s="138"/>
      <c r="F33" s="138"/>
    </row>
    <row r="34" spans="1:6" ht="15">
      <c r="A34" s="1"/>
      <c r="B34" s="1"/>
      <c r="C34" s="1"/>
      <c r="D34" s="2"/>
      <c r="E34" s="2"/>
      <c r="F34" s="2"/>
    </row>
    <row r="35" spans="1:6" ht="71.25">
      <c r="A35" s="8"/>
      <c r="B35" s="9" t="s">
        <v>4</v>
      </c>
      <c r="C35" s="9" t="s">
        <v>5</v>
      </c>
      <c r="D35" s="9" t="s">
        <v>6</v>
      </c>
      <c r="E35" s="9" t="s">
        <v>7</v>
      </c>
      <c r="F35" s="2"/>
    </row>
    <row r="36" spans="1:5" ht="31.5" customHeight="1">
      <c r="A36" s="139" t="s">
        <v>40</v>
      </c>
      <c r="B36" s="139"/>
      <c r="C36" s="139"/>
      <c r="D36" s="12">
        <f>D37</f>
        <v>50.1348</v>
      </c>
      <c r="E36" s="12">
        <f>E37</f>
        <v>0.01</v>
      </c>
    </row>
    <row r="37" spans="1:5" ht="30">
      <c r="A37" s="15">
        <v>1</v>
      </c>
      <c r="B37" s="45" t="s">
        <v>41</v>
      </c>
      <c r="C37" s="45" t="s">
        <v>42</v>
      </c>
      <c r="D37" s="17">
        <f>E37*12*$D$2</f>
        <v>50.1348</v>
      </c>
      <c r="E37" s="46">
        <v>0.01</v>
      </c>
    </row>
    <row r="38" spans="1:5" ht="32.25" customHeight="1">
      <c r="A38" s="139" t="s">
        <v>43</v>
      </c>
      <c r="B38" s="139"/>
      <c r="C38" s="139"/>
      <c r="D38" s="12">
        <f>D39+D40+D41</f>
        <v>1504.044</v>
      </c>
      <c r="E38" s="12">
        <f>E39+E40+E41</f>
        <v>0.3</v>
      </c>
    </row>
    <row r="39" spans="1:5" ht="45">
      <c r="A39" s="15" t="s">
        <v>305</v>
      </c>
      <c r="B39" s="45" t="s">
        <v>44</v>
      </c>
      <c r="C39" s="45" t="s">
        <v>45</v>
      </c>
      <c r="D39" s="17">
        <f>E39*$D$2*12</f>
        <v>100.2696</v>
      </c>
      <c r="E39" s="46">
        <v>0.02</v>
      </c>
    </row>
    <row r="40" spans="1:5" ht="30">
      <c r="A40" s="15" t="s">
        <v>306</v>
      </c>
      <c r="B40" s="87" t="s">
        <v>153</v>
      </c>
      <c r="C40" s="87" t="s">
        <v>154</v>
      </c>
      <c r="D40" s="17">
        <f>E40*$D$2*12</f>
        <v>1102.9656</v>
      </c>
      <c r="E40" s="46">
        <v>0.22</v>
      </c>
    </row>
    <row r="41" spans="1:5" ht="30">
      <c r="A41" s="15" t="s">
        <v>292</v>
      </c>
      <c r="B41" s="47" t="s">
        <v>46</v>
      </c>
      <c r="C41" s="8" t="s">
        <v>165</v>
      </c>
      <c r="D41" s="17">
        <f>E41*$D$2*12</f>
        <v>300.8088</v>
      </c>
      <c r="E41" s="18">
        <v>0.06</v>
      </c>
    </row>
    <row r="42" spans="1:6" ht="15">
      <c r="A42" s="9"/>
      <c r="B42" s="27" t="s">
        <v>27</v>
      </c>
      <c r="C42" s="27"/>
      <c r="D42" s="48">
        <f>D36+D38</f>
        <v>1554.1788000000001</v>
      </c>
      <c r="E42" s="12">
        <f>E36+E38</f>
        <v>0.31</v>
      </c>
      <c r="F42" s="6"/>
    </row>
    <row r="43" spans="1:6" ht="15">
      <c r="A43" s="2"/>
      <c r="B43" s="2"/>
      <c r="C43" s="2"/>
      <c r="D43" s="2"/>
      <c r="E43" s="2"/>
      <c r="F43" s="2"/>
    </row>
    <row r="44" spans="1:6" ht="15">
      <c r="A44" s="34"/>
      <c r="B44" s="34"/>
      <c r="C44" s="34"/>
      <c r="D44" s="34"/>
      <c r="E44" s="34"/>
      <c r="F44" s="35"/>
    </row>
    <row r="45" spans="1:7" ht="105">
      <c r="A45" s="11" t="s">
        <v>28</v>
      </c>
      <c r="B45" s="11" t="s">
        <v>29</v>
      </c>
      <c r="C45" s="11" t="s">
        <v>30</v>
      </c>
      <c r="D45" s="11" t="s">
        <v>31</v>
      </c>
      <c r="E45" s="11" t="s">
        <v>32</v>
      </c>
      <c r="F45" s="11" t="s">
        <v>33</v>
      </c>
      <c r="G45" s="78"/>
    </row>
    <row r="46" spans="1:7" ht="15">
      <c r="A46" s="11">
        <v>1</v>
      </c>
      <c r="B46" s="8" t="s">
        <v>320</v>
      </c>
      <c r="C46" s="11" t="s">
        <v>390</v>
      </c>
      <c r="D46" s="36">
        <v>2582.19</v>
      </c>
      <c r="E46" s="37">
        <f>D46/12/$D$2</f>
        <v>0.5150494267454941</v>
      </c>
      <c r="F46" s="38">
        <v>1</v>
      </c>
      <c r="G46" s="78"/>
    </row>
    <row r="47" spans="1:7" ht="15">
      <c r="A47" s="11"/>
      <c r="B47" s="39" t="s">
        <v>36</v>
      </c>
      <c r="C47" s="10"/>
      <c r="D47" s="54">
        <f>SUM(D46:D46)</f>
        <v>2582.19</v>
      </c>
      <c r="E47" s="40">
        <f>SUM(E46:E46)</f>
        <v>0.5150494267454941</v>
      </c>
      <c r="F47" s="41"/>
      <c r="G47" s="78"/>
    </row>
    <row r="51" spans="2:3" ht="29.25">
      <c r="B51" s="30" t="s">
        <v>465</v>
      </c>
      <c r="C51" s="43">
        <f>C29</f>
        <v>23327.522477767212</v>
      </c>
    </row>
  </sheetData>
  <mergeCells count="10">
    <mergeCell ref="A38:C38"/>
    <mergeCell ref="A20:C20"/>
    <mergeCell ref="A18:C18"/>
    <mergeCell ref="A33:F33"/>
    <mergeCell ref="A36:C36"/>
    <mergeCell ref="A1:E1"/>
    <mergeCell ref="A4:E4"/>
    <mergeCell ref="A7:C7"/>
    <mergeCell ref="A15:C15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51"/>
  <sheetViews>
    <sheetView zoomScale="97" zoomScaleNormal="97" workbookViewId="0" topLeftCell="A43">
      <selection activeCell="C58" sqref="C5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38" t="s">
        <v>466</v>
      </c>
      <c r="B1" s="138"/>
      <c r="C1" s="138"/>
      <c r="D1" s="138"/>
      <c r="E1" s="138"/>
      <c r="F1" s="2"/>
    </row>
    <row r="2" spans="1:6" ht="39" customHeight="1">
      <c r="A2" s="2"/>
      <c r="B2" s="1" t="s">
        <v>467</v>
      </c>
      <c r="C2" s="4"/>
      <c r="D2" s="5">
        <v>225.88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30.75" customHeight="1">
      <c r="A7" s="145" t="s">
        <v>8</v>
      </c>
      <c r="B7" s="146"/>
      <c r="C7" s="146"/>
      <c r="D7" s="12">
        <f>SUM(D8:D12)</f>
        <v>5139.729045672504</v>
      </c>
      <c r="E7" s="12">
        <f>SUM(E8:E12)</f>
        <v>1.8961871516116613</v>
      </c>
      <c r="F7" s="13"/>
    </row>
    <row r="8" spans="1:6" ht="15.75" customHeight="1">
      <c r="A8" s="15">
        <v>1</v>
      </c>
      <c r="B8" s="8" t="s">
        <v>153</v>
      </c>
      <c r="C8" s="16" t="s">
        <v>147</v>
      </c>
      <c r="D8" s="17">
        <f>E8*$D$2*12</f>
        <v>426.10105950890045</v>
      </c>
      <c r="E8" s="18">
        <v>0.1572003790762427</v>
      </c>
      <c r="F8" s="2"/>
    </row>
    <row r="9" spans="1:6" ht="15.75" customHeight="1">
      <c r="A9" s="15">
        <v>2</v>
      </c>
      <c r="B9" s="8" t="s">
        <v>146</v>
      </c>
      <c r="C9" s="16" t="s">
        <v>147</v>
      </c>
      <c r="D9" s="17">
        <f>E9*$D$2*12</f>
        <v>225.2960931578368</v>
      </c>
      <c r="E9" s="18">
        <v>0.08311791406861932</v>
      </c>
      <c r="F9" s="2"/>
    </row>
    <row r="10" spans="1:6" ht="30">
      <c r="A10" s="15">
        <v>3</v>
      </c>
      <c r="B10" s="8" t="s">
        <v>158</v>
      </c>
      <c r="C10" s="22" t="s">
        <v>149</v>
      </c>
      <c r="D10" s="17">
        <f>E10*$D$2*12</f>
        <v>544.7314681221739</v>
      </c>
      <c r="E10" s="17">
        <v>0.20096639370542393</v>
      </c>
      <c r="F10" s="2"/>
    </row>
    <row r="11" spans="1:6" ht="60">
      <c r="A11" s="15">
        <v>4</v>
      </c>
      <c r="B11" s="16" t="s">
        <v>159</v>
      </c>
      <c r="C11" s="16" t="s">
        <v>160</v>
      </c>
      <c r="D11" s="17">
        <f>E11*$D$2*12</f>
        <v>2905.234496651595</v>
      </c>
      <c r="E11" s="17">
        <v>1.0718207664289279</v>
      </c>
      <c r="F11" s="2"/>
    </row>
    <row r="12" spans="1:6" ht="15.75" customHeight="1">
      <c r="A12" s="15">
        <v>5</v>
      </c>
      <c r="B12" s="22" t="s">
        <v>46</v>
      </c>
      <c r="C12" s="22" t="s">
        <v>161</v>
      </c>
      <c r="D12" s="17">
        <f>E12*$D$2*12</f>
        <v>1038.3659282319986</v>
      </c>
      <c r="E12" s="18">
        <v>0.38308169833244743</v>
      </c>
      <c r="F12" s="2"/>
    </row>
    <row r="13" spans="1:6" ht="15">
      <c r="A13" s="140" t="s">
        <v>11</v>
      </c>
      <c r="B13" s="141"/>
      <c r="C13" s="142"/>
      <c r="D13" s="12">
        <f>SUM(D14:D15)</f>
        <v>296.0567364626446</v>
      </c>
      <c r="E13" s="12">
        <f>SUM(E14:E15)</f>
        <v>0.10922345805392411</v>
      </c>
      <c r="F13" s="19"/>
    </row>
    <row r="14" spans="1:6" ht="15.75" customHeight="1">
      <c r="A14" s="15">
        <v>6</v>
      </c>
      <c r="B14" s="8" t="s">
        <v>12</v>
      </c>
      <c r="C14" s="16" t="s">
        <v>13</v>
      </c>
      <c r="D14" s="17">
        <f>E14*$D$2*12</f>
        <v>270.86618157607006</v>
      </c>
      <c r="E14" s="20">
        <v>0.09992997077211721</v>
      </c>
      <c r="F14" s="21"/>
    </row>
    <row r="15" spans="1:6" ht="30">
      <c r="A15" s="15">
        <v>7</v>
      </c>
      <c r="B15" s="22" t="s">
        <v>14</v>
      </c>
      <c r="C15" s="22" t="s">
        <v>15</v>
      </c>
      <c r="D15" s="17">
        <f>E15*$D$2*12</f>
        <v>25.190554886574525</v>
      </c>
      <c r="E15" s="17">
        <v>0.009293487281806904</v>
      </c>
      <c r="F15" s="21"/>
    </row>
    <row r="16" spans="1:6" ht="15">
      <c r="A16" s="140" t="s">
        <v>16</v>
      </c>
      <c r="B16" s="143"/>
      <c r="C16" s="144"/>
      <c r="D16" s="23">
        <f>SUM(D17:D18)</f>
        <v>150.8871850255062</v>
      </c>
      <c r="E16" s="23">
        <f>SUM(E17:E18)</f>
        <v>0.05566642502859416</v>
      </c>
      <c r="F16" s="21"/>
    </row>
    <row r="17" spans="1:6" ht="15.75" customHeight="1">
      <c r="A17" s="15">
        <v>8</v>
      </c>
      <c r="B17" s="22" t="s">
        <v>17</v>
      </c>
      <c r="C17" s="22" t="s">
        <v>18</v>
      </c>
      <c r="D17" s="17">
        <f>E17*12*$D$2</f>
        <v>94.38045990249854</v>
      </c>
      <c r="E17" s="18">
        <v>0.03481954278912791</v>
      </c>
      <c r="F17" s="13"/>
    </row>
    <row r="18" spans="1:6" ht="60">
      <c r="A18" s="15">
        <v>9</v>
      </c>
      <c r="B18" s="22" t="s">
        <v>19</v>
      </c>
      <c r="C18" s="22" t="s">
        <v>18</v>
      </c>
      <c r="D18" s="17">
        <f>E18*12*$D$2</f>
        <v>56.50672512300765</v>
      </c>
      <c r="E18" s="17">
        <v>0.020846882239466253</v>
      </c>
      <c r="F18" s="2"/>
    </row>
    <row r="19" spans="1:6" ht="15">
      <c r="A19" s="145" t="s">
        <v>20</v>
      </c>
      <c r="B19" s="146"/>
      <c r="C19" s="146"/>
      <c r="D19" s="24">
        <f>SUM(D20:D21)</f>
        <v>2891.328115238148</v>
      </c>
      <c r="E19" s="24">
        <f>SUM(E20:E21)</f>
        <v>1.066690320538246</v>
      </c>
      <c r="F19" s="2"/>
    </row>
    <row r="20" spans="1:6" ht="75">
      <c r="A20" s="15">
        <v>10</v>
      </c>
      <c r="B20" s="22" t="s">
        <v>98</v>
      </c>
      <c r="C20" s="22" t="s">
        <v>18</v>
      </c>
      <c r="D20" s="17">
        <f>E20*12*$D$2</f>
        <v>180.39975321374604</v>
      </c>
      <c r="E20" s="17">
        <v>0.06655442167439424</v>
      </c>
      <c r="F20" s="2"/>
    </row>
    <row r="21" spans="1:6" ht="90">
      <c r="A21" s="15">
        <v>11</v>
      </c>
      <c r="B21" s="22" t="s">
        <v>22</v>
      </c>
      <c r="C21" s="22" t="s">
        <v>79</v>
      </c>
      <c r="D21" s="17">
        <f>E21*12*$D$2</f>
        <v>2710.928362024402</v>
      </c>
      <c r="E21" s="20">
        <v>1.0001358988638518</v>
      </c>
      <c r="F21" s="2"/>
    </row>
    <row r="22" spans="1:6" ht="15">
      <c r="A22" s="145" t="s">
        <v>24</v>
      </c>
      <c r="B22" s="145"/>
      <c r="C22" s="145"/>
      <c r="D22" s="25">
        <f>SUM(D23)</f>
        <v>241.164</v>
      </c>
      <c r="E22" s="25">
        <f>SUM(E23)</f>
        <v>0.08897202054188064</v>
      </c>
      <c r="F22" s="2"/>
    </row>
    <row r="23" spans="1:6" ht="15">
      <c r="A23" s="15">
        <v>12</v>
      </c>
      <c r="B23" s="22" t="s">
        <v>25</v>
      </c>
      <c r="C23" s="22" t="s">
        <v>26</v>
      </c>
      <c r="D23" s="17">
        <f>E23*12*$D$2</f>
        <v>241.164</v>
      </c>
      <c r="E23" s="26">
        <v>0.08897202054188064</v>
      </c>
      <c r="F23" s="2"/>
    </row>
    <row r="24" spans="1:6" ht="15">
      <c r="A24" s="145" t="s">
        <v>151</v>
      </c>
      <c r="B24" s="145"/>
      <c r="C24" s="145"/>
      <c r="D24" s="25">
        <f>SUM(D25:D25)</f>
        <v>88.28351910528033</v>
      </c>
      <c r="E24" s="25">
        <f>SUM(E25:E25)</f>
        <v>0.032570213942978696</v>
      </c>
      <c r="F24" s="2"/>
    </row>
    <row r="25" spans="1:6" ht="30">
      <c r="A25" s="15">
        <v>13</v>
      </c>
      <c r="B25" s="22" t="s">
        <v>152</v>
      </c>
      <c r="C25" s="22" t="s">
        <v>15</v>
      </c>
      <c r="D25" s="17">
        <f>E25*12*$D$2</f>
        <v>88.28351910528033</v>
      </c>
      <c r="E25" s="20">
        <v>0.032570213942978696</v>
      </c>
      <c r="F25" s="2"/>
    </row>
    <row r="26" spans="1:6" ht="15">
      <c r="A26" s="9"/>
      <c r="B26" s="27" t="s">
        <v>27</v>
      </c>
      <c r="C26" s="27"/>
      <c r="D26" s="48">
        <f>D7+D13+D16+D19+D22+D24</f>
        <v>8807.448601504084</v>
      </c>
      <c r="E26" s="12">
        <f>E7+E13+E16+E19+E22+E24</f>
        <v>3.249309589717285</v>
      </c>
      <c r="F26" s="6"/>
    </row>
    <row r="27" spans="1:6" ht="48.75" customHeight="1">
      <c r="A27" s="29"/>
      <c r="B27" s="30"/>
      <c r="C27" s="31"/>
      <c r="D27" s="32"/>
      <c r="E27" s="33"/>
      <c r="F27" s="2"/>
    </row>
    <row r="28" spans="1:6" ht="15">
      <c r="A28" s="34"/>
      <c r="B28" s="34"/>
      <c r="C28" s="34"/>
      <c r="D28" s="34"/>
      <c r="E28" s="34"/>
      <c r="F28" s="35"/>
    </row>
    <row r="29" spans="1:6" ht="105">
      <c r="A29" s="11" t="s">
        <v>28</v>
      </c>
      <c r="B29" s="11" t="s">
        <v>29</v>
      </c>
      <c r="C29" s="11" t="s">
        <v>30</v>
      </c>
      <c r="D29" s="11" t="s">
        <v>31</v>
      </c>
      <c r="E29" s="11" t="s">
        <v>32</v>
      </c>
      <c r="F29" s="11" t="s">
        <v>33</v>
      </c>
    </row>
    <row r="30" spans="1:7" ht="15">
      <c r="A30" s="11">
        <v>1</v>
      </c>
      <c r="B30" s="8" t="s">
        <v>320</v>
      </c>
      <c r="C30" s="11" t="s">
        <v>468</v>
      </c>
      <c r="D30" s="36">
        <v>5903.74</v>
      </c>
      <c r="E30" s="37">
        <f>D30/12/$D$2</f>
        <v>2.17805176790036</v>
      </c>
      <c r="F30" s="38">
        <v>1</v>
      </c>
      <c r="G30" s="78"/>
    </row>
    <row r="31" spans="1:6" ht="15">
      <c r="A31" s="11"/>
      <c r="B31" s="39" t="s">
        <v>36</v>
      </c>
      <c r="C31" s="10"/>
      <c r="D31" s="54">
        <f>SUM(D30:D30)</f>
        <v>5903.74</v>
      </c>
      <c r="E31" s="40">
        <f>SUM(E30:E30)</f>
        <v>2.17805176790036</v>
      </c>
      <c r="F31" s="41"/>
    </row>
    <row r="32" spans="1:6" ht="15">
      <c r="A32" s="29"/>
      <c r="B32" s="30"/>
      <c r="C32" s="42"/>
      <c r="D32" s="42"/>
      <c r="E32" s="42"/>
      <c r="F32" s="42"/>
    </row>
    <row r="33" spans="1:6" ht="29.25">
      <c r="A33" s="29"/>
      <c r="B33" s="30" t="s">
        <v>37</v>
      </c>
      <c r="C33" s="43">
        <f>D26+D31</f>
        <v>14711.188601504084</v>
      </c>
      <c r="D33" s="43"/>
      <c r="E33" s="43"/>
      <c r="F33" s="42"/>
    </row>
    <row r="34" spans="1:6" ht="15">
      <c r="A34" s="29"/>
      <c r="B34" s="30" t="s">
        <v>38</v>
      </c>
      <c r="C34" s="44">
        <f>E26+E31</f>
        <v>5.427361357617645</v>
      </c>
      <c r="D34" s="42"/>
      <c r="E34" s="42"/>
      <c r="F34" s="42"/>
    </row>
    <row r="35" spans="1:6" ht="15">
      <c r="A35" s="29"/>
      <c r="B35" s="30"/>
      <c r="C35" s="44"/>
      <c r="D35" s="42"/>
      <c r="E35" s="42"/>
      <c r="F35" s="42"/>
    </row>
    <row r="36" spans="1:6" ht="15">
      <c r="A36" s="2"/>
      <c r="B36" s="2"/>
      <c r="C36" s="2"/>
      <c r="D36" s="2"/>
      <c r="E36" s="2"/>
      <c r="F36" s="2"/>
    </row>
    <row r="37" spans="1:6" ht="33" customHeight="1">
      <c r="A37" s="138" t="s">
        <v>39</v>
      </c>
      <c r="B37" s="138"/>
      <c r="C37" s="138"/>
      <c r="D37" s="138"/>
      <c r="E37" s="138"/>
      <c r="F37" s="138"/>
    </row>
    <row r="38" spans="1:6" ht="15">
      <c r="A38" s="1"/>
      <c r="B38" s="1"/>
      <c r="C38" s="1"/>
      <c r="D38" s="2"/>
      <c r="E38" s="2"/>
      <c r="F38" s="2"/>
    </row>
    <row r="39" spans="1:6" ht="71.25">
      <c r="A39" s="8"/>
      <c r="B39" s="9" t="s">
        <v>4</v>
      </c>
      <c r="C39" s="9" t="s">
        <v>5</v>
      </c>
      <c r="D39" s="9" t="s">
        <v>6</v>
      </c>
      <c r="E39" s="9" t="s">
        <v>7</v>
      </c>
      <c r="F39" s="2"/>
    </row>
    <row r="40" spans="1:5" ht="31.5" customHeight="1">
      <c r="A40" s="139" t="s">
        <v>40</v>
      </c>
      <c r="B40" s="139"/>
      <c r="C40" s="139"/>
      <c r="D40" s="12">
        <f>D41</f>
        <v>27.1056</v>
      </c>
      <c r="E40" s="12">
        <f>E41</f>
        <v>0.01</v>
      </c>
    </row>
    <row r="41" spans="1:5" ht="30">
      <c r="A41" s="15">
        <v>1</v>
      </c>
      <c r="B41" s="45" t="s">
        <v>41</v>
      </c>
      <c r="C41" s="45" t="s">
        <v>42</v>
      </c>
      <c r="D41" s="17">
        <f>E41*12*$D$2</f>
        <v>27.1056</v>
      </c>
      <c r="E41" s="46">
        <v>0.01</v>
      </c>
    </row>
    <row r="42" spans="1:5" ht="32.25" customHeight="1">
      <c r="A42" s="139" t="s">
        <v>43</v>
      </c>
      <c r="B42" s="139"/>
      <c r="C42" s="139"/>
      <c r="D42" s="12">
        <f>D43+D44+D45</f>
        <v>813.1679999999999</v>
      </c>
      <c r="E42" s="12">
        <f>E43+E44+E45</f>
        <v>0.3</v>
      </c>
    </row>
    <row r="43" spans="1:5" ht="45">
      <c r="A43" s="15">
        <v>2</v>
      </c>
      <c r="B43" s="45" t="s">
        <v>44</v>
      </c>
      <c r="C43" s="45" t="s">
        <v>45</v>
      </c>
      <c r="D43" s="17">
        <f>E43*$D$2*12</f>
        <v>54.2112</v>
      </c>
      <c r="E43" s="46">
        <v>0.02</v>
      </c>
    </row>
    <row r="44" spans="1:5" ht="30">
      <c r="A44" s="15">
        <v>3</v>
      </c>
      <c r="B44" s="87" t="s">
        <v>153</v>
      </c>
      <c r="C44" s="87" t="s">
        <v>154</v>
      </c>
      <c r="D44" s="17">
        <f>E44*$D$2*12</f>
        <v>596.3231999999999</v>
      </c>
      <c r="E44" s="46">
        <v>0.22</v>
      </c>
    </row>
    <row r="45" spans="1:5" ht="30">
      <c r="A45" s="15">
        <v>4</v>
      </c>
      <c r="B45" s="47" t="s">
        <v>46</v>
      </c>
      <c r="C45" s="8" t="s">
        <v>165</v>
      </c>
      <c r="D45" s="17">
        <f>E45*$D$2*12</f>
        <v>162.6336</v>
      </c>
      <c r="E45" s="18">
        <v>0.06</v>
      </c>
    </row>
    <row r="46" spans="1:6" ht="15">
      <c r="A46" s="9"/>
      <c r="B46" s="27" t="s">
        <v>27</v>
      </c>
      <c r="C46" s="27"/>
      <c r="D46" s="48">
        <f>D40+D42</f>
        <v>840.2735999999999</v>
      </c>
      <c r="E46" s="12">
        <f>E40+E42</f>
        <v>0.31</v>
      </c>
      <c r="F46" s="6"/>
    </row>
    <row r="47" spans="1:6" ht="15">
      <c r="A47" s="2"/>
      <c r="B47" s="2"/>
      <c r="C47" s="2"/>
      <c r="D47" s="2"/>
      <c r="E47" s="2"/>
      <c r="F47" s="2"/>
    </row>
    <row r="48" spans="1:6" ht="15">
      <c r="A48" s="34"/>
      <c r="B48" s="34"/>
      <c r="C48" s="34"/>
      <c r="D48" s="34"/>
      <c r="E48" s="34"/>
      <c r="F48" s="35"/>
    </row>
    <row r="49" spans="1:6" ht="105">
      <c r="A49" s="11" t="s">
        <v>28</v>
      </c>
      <c r="B49" s="11" t="s">
        <v>29</v>
      </c>
      <c r="C49" s="11" t="s">
        <v>30</v>
      </c>
      <c r="D49" s="11" t="s">
        <v>31</v>
      </c>
      <c r="E49" s="11" t="s">
        <v>32</v>
      </c>
      <c r="F49" s="11" t="s">
        <v>33</v>
      </c>
    </row>
    <row r="50" spans="1:7" ht="15">
      <c r="A50" s="11">
        <v>1</v>
      </c>
      <c r="B50" s="8" t="s">
        <v>320</v>
      </c>
      <c r="C50" s="11" t="s">
        <v>81</v>
      </c>
      <c r="D50" s="36">
        <v>1533.44</v>
      </c>
      <c r="E50" s="37">
        <f>D50/12/$D$2</f>
        <v>0.5657281152234225</v>
      </c>
      <c r="F50" s="38">
        <v>1</v>
      </c>
      <c r="G50" s="78"/>
    </row>
    <row r="51" spans="1:6" ht="15">
      <c r="A51" s="11"/>
      <c r="B51" s="39" t="s">
        <v>36</v>
      </c>
      <c r="C51" s="10"/>
      <c r="D51" s="54">
        <f>SUM(D50:D50)</f>
        <v>1533.44</v>
      </c>
      <c r="E51" s="40">
        <f>SUM(E50:E50)</f>
        <v>0.5657281152234225</v>
      </c>
      <c r="F51" s="41"/>
    </row>
  </sheetData>
  <mergeCells count="11">
    <mergeCell ref="A19:C19"/>
    <mergeCell ref="A16:C16"/>
    <mergeCell ref="A42:C42"/>
    <mergeCell ref="A24:C24"/>
    <mergeCell ref="A22:C22"/>
    <mergeCell ref="A37:F37"/>
    <mergeCell ref="A40:C40"/>
    <mergeCell ref="A1:E1"/>
    <mergeCell ref="A4:E4"/>
    <mergeCell ref="A7:C7"/>
    <mergeCell ref="A13:C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45"/>
  <sheetViews>
    <sheetView zoomScale="75" zoomScaleNormal="75" workbookViewId="0" topLeftCell="A34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215</v>
      </c>
    </row>
    <row r="2" spans="1:6" ht="30" customHeight="1">
      <c r="A2" s="2"/>
      <c r="B2" s="1" t="s">
        <v>216</v>
      </c>
      <c r="C2" s="4"/>
      <c r="D2" s="5">
        <v>106.33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30.75" customHeight="1">
      <c r="A7" s="145" t="s">
        <v>8</v>
      </c>
      <c r="B7" s="146"/>
      <c r="C7" s="146"/>
      <c r="D7" s="12">
        <f>SUM(D8:D8)</f>
        <v>326.0795582207703</v>
      </c>
      <c r="E7" s="12">
        <f>SUM(E8:E8)</f>
        <v>0.25555625428757195</v>
      </c>
      <c r="F7" s="13"/>
    </row>
    <row r="8" spans="1:9" ht="15.75" customHeight="1">
      <c r="A8" s="15">
        <v>1</v>
      </c>
      <c r="B8" s="8" t="s">
        <v>9</v>
      </c>
      <c r="C8" s="16" t="s">
        <v>10</v>
      </c>
      <c r="D8" s="17">
        <f>E8*$D$2*12</f>
        <v>326.0795582207703</v>
      </c>
      <c r="E8" s="60">
        <v>0.25555625428757195</v>
      </c>
      <c r="F8" s="2"/>
      <c r="H8" s="61"/>
      <c r="I8" s="61"/>
    </row>
    <row r="9" spans="1:9" ht="15">
      <c r="A9" s="140" t="s">
        <v>11</v>
      </c>
      <c r="B9" s="141"/>
      <c r="C9" s="142"/>
      <c r="D9" s="12">
        <f>SUM(D10:D11)</f>
        <v>1628.3120505445454</v>
      </c>
      <c r="E9" s="12">
        <f>SUM(E10:E11)</f>
        <v>1.2761466272802795</v>
      </c>
      <c r="F9" s="19"/>
      <c r="H9" s="62"/>
      <c r="I9" s="56"/>
    </row>
    <row r="10" spans="1:6" ht="15.75" customHeight="1">
      <c r="A10" s="15">
        <v>2</v>
      </c>
      <c r="B10" s="8" t="s">
        <v>12</v>
      </c>
      <c r="C10" s="16" t="s">
        <v>13</v>
      </c>
      <c r="D10" s="17">
        <f>E10*$D$2*12</f>
        <v>1489.7639986683855</v>
      </c>
      <c r="E10" s="60">
        <v>1.1675632454531377</v>
      </c>
      <c r="F10" s="21"/>
    </row>
    <row r="11" spans="1:6" ht="30">
      <c r="A11" s="15">
        <v>3</v>
      </c>
      <c r="B11" s="22" t="s">
        <v>14</v>
      </c>
      <c r="C11" s="22" t="s">
        <v>15</v>
      </c>
      <c r="D11" s="17">
        <f>E11*$D$2*12</f>
        <v>138.5480518761599</v>
      </c>
      <c r="E11" s="60">
        <v>0.10858338182714183</v>
      </c>
      <c r="F11" s="21"/>
    </row>
    <row r="12" spans="1:6" ht="30" customHeight="1">
      <c r="A12" s="140" t="s">
        <v>16</v>
      </c>
      <c r="B12" s="143"/>
      <c r="C12" s="144"/>
      <c r="D12" s="23">
        <f>SUM(D13:D14)</f>
        <v>85.67563517824212</v>
      </c>
      <c r="E12" s="23">
        <f>SUM(E13:E14)</f>
        <v>0.06714601960738747</v>
      </c>
      <c r="F12" s="21"/>
    </row>
    <row r="13" spans="1:6" ht="30" customHeight="1">
      <c r="A13" s="15">
        <v>4</v>
      </c>
      <c r="B13" s="22" t="s">
        <v>17</v>
      </c>
      <c r="C13" s="22" t="s">
        <v>18</v>
      </c>
      <c r="D13" s="17">
        <f>E13*12*$D$2</f>
        <v>47.19022995124922</v>
      </c>
      <c r="E13" s="60">
        <v>0.036984098209386834</v>
      </c>
      <c r="F13" s="13"/>
    </row>
    <row r="14" spans="1:6" ht="60">
      <c r="A14" s="15">
        <v>5</v>
      </c>
      <c r="B14" s="22" t="s">
        <v>19</v>
      </c>
      <c r="C14" s="22" t="s">
        <v>18</v>
      </c>
      <c r="D14" s="17">
        <f>E14*12*$D$2</f>
        <v>38.4854052269929</v>
      </c>
      <c r="E14" s="60">
        <v>0.030161921398000644</v>
      </c>
      <c r="F14" s="2"/>
    </row>
    <row r="15" spans="1:6" ht="15">
      <c r="A15" s="145" t="s">
        <v>20</v>
      </c>
      <c r="B15" s="146"/>
      <c r="C15" s="146"/>
      <c r="D15" s="24">
        <f>SUM(D16:D17)</f>
        <v>325.30913684534346</v>
      </c>
      <c r="E15" s="24">
        <f>SUM(E16:E17)</f>
        <v>0.25495245685236484</v>
      </c>
      <c r="F15" s="2"/>
    </row>
    <row r="16" spans="1:10" ht="60">
      <c r="A16" s="15">
        <v>6</v>
      </c>
      <c r="B16" s="22" t="s">
        <v>86</v>
      </c>
      <c r="C16" s="22" t="s">
        <v>18</v>
      </c>
      <c r="D16" s="17">
        <f>E16*12*$D$2</f>
        <v>13.17696315459757</v>
      </c>
      <c r="E16" s="83">
        <v>0.010327097365589493</v>
      </c>
      <c r="F16" s="2"/>
      <c r="H16" s="85"/>
      <c r="I16" s="64"/>
      <c r="J16" s="65"/>
    </row>
    <row r="17" spans="1:10" ht="60">
      <c r="A17" s="15">
        <v>7</v>
      </c>
      <c r="B17" s="22" t="s">
        <v>22</v>
      </c>
      <c r="C17" s="22" t="s">
        <v>217</v>
      </c>
      <c r="D17" s="17">
        <f>E17*12*$D$2</f>
        <v>312.1321736907459</v>
      </c>
      <c r="E17" s="83">
        <v>0.24462535948677536</v>
      </c>
      <c r="F17" s="2"/>
      <c r="H17" s="85"/>
      <c r="I17" s="64"/>
      <c r="J17" s="65"/>
    </row>
    <row r="18" spans="1:9" ht="15">
      <c r="A18" s="145" t="s">
        <v>24</v>
      </c>
      <c r="B18" s="145"/>
      <c r="C18" s="145"/>
      <c r="D18" s="25">
        <f>SUM(D19)</f>
        <v>203.14291903963306</v>
      </c>
      <c r="E18" s="23">
        <f>SUM(E19)</f>
        <v>0.15920790545129399</v>
      </c>
      <c r="F18" s="2"/>
      <c r="H18" s="56"/>
      <c r="I18" s="80"/>
    </row>
    <row r="19" spans="1:10" ht="15">
      <c r="A19" s="15">
        <v>8</v>
      </c>
      <c r="B19" s="22" t="s">
        <v>25</v>
      </c>
      <c r="C19" s="22" t="s">
        <v>26</v>
      </c>
      <c r="D19" s="17">
        <f>E19*12*$D$2</f>
        <v>203.14291903963306</v>
      </c>
      <c r="E19" s="83">
        <f>0.152307905451294+0.0069</f>
        <v>0.15920790545129399</v>
      </c>
      <c r="F19" s="2"/>
      <c r="H19" s="85"/>
      <c r="I19" s="56"/>
      <c r="J19" s="80"/>
    </row>
    <row r="20" spans="1:6" ht="15">
      <c r="A20" s="9"/>
      <c r="B20" s="27" t="s">
        <v>27</v>
      </c>
      <c r="C20" s="27"/>
      <c r="D20" s="48">
        <f>D7+D9+D12+D15+D18</f>
        <v>2568.5192998285343</v>
      </c>
      <c r="E20" s="12">
        <f>E7+E9+E12+E15+E18</f>
        <v>2.0130092634788976</v>
      </c>
      <c r="F20" s="6"/>
    </row>
    <row r="21" spans="1:6" ht="15">
      <c r="A21" s="29"/>
      <c r="B21" s="30"/>
      <c r="C21" s="31"/>
      <c r="D21" s="32"/>
      <c r="E21" s="33"/>
      <c r="F21" s="2"/>
    </row>
    <row r="22" spans="1:6" ht="15">
      <c r="A22" s="30"/>
      <c r="B22" s="30"/>
      <c r="C22" s="30"/>
      <c r="D22" s="30"/>
      <c r="E22" s="30"/>
      <c r="F22" s="29"/>
    </row>
    <row r="23" spans="1:6" ht="105">
      <c r="A23" s="11" t="s">
        <v>28</v>
      </c>
      <c r="B23" s="11" t="s">
        <v>29</v>
      </c>
      <c r="C23" s="11" t="s">
        <v>30</v>
      </c>
      <c r="D23" s="11" t="s">
        <v>31</v>
      </c>
      <c r="E23" s="11" t="s">
        <v>32</v>
      </c>
      <c r="F23" s="11" t="s">
        <v>33</v>
      </c>
    </row>
    <row r="24" spans="1:6" ht="15">
      <c r="A24" s="11">
        <v>1</v>
      </c>
      <c r="B24" s="8" t="s">
        <v>123</v>
      </c>
      <c r="C24" s="11" t="s">
        <v>51</v>
      </c>
      <c r="D24" s="11">
        <v>2779</v>
      </c>
      <c r="E24" s="37">
        <f>D24/12/$D$2</f>
        <v>2.1779679613780996</v>
      </c>
      <c r="F24" s="38">
        <v>2</v>
      </c>
    </row>
    <row r="25" spans="1:6" ht="15">
      <c r="A25" s="11"/>
      <c r="B25" s="39" t="s">
        <v>36</v>
      </c>
      <c r="C25" s="10"/>
      <c r="D25" s="54">
        <f>SUM(D24:D24)</f>
        <v>2779</v>
      </c>
      <c r="E25" s="40">
        <f>SUM(E24:E24)</f>
        <v>2.1779679613780996</v>
      </c>
      <c r="F25" s="41"/>
    </row>
    <row r="26" spans="1:6" ht="15">
      <c r="A26" s="29"/>
      <c r="B26" s="30"/>
      <c r="C26" s="42"/>
      <c r="D26" s="42"/>
      <c r="E26" s="42"/>
      <c r="F26" s="42"/>
    </row>
    <row r="27" spans="1:6" ht="29.25">
      <c r="A27" s="29"/>
      <c r="B27" s="30" t="s">
        <v>37</v>
      </c>
      <c r="C27" s="43">
        <f>D20+D25</f>
        <v>5347.519299828535</v>
      </c>
      <c r="D27" s="43"/>
      <c r="E27" s="43"/>
      <c r="F27" s="42"/>
    </row>
    <row r="28" spans="1:6" ht="15">
      <c r="A28" s="29"/>
      <c r="B28" s="30" t="s">
        <v>38</v>
      </c>
      <c r="C28" s="44">
        <f>E20+E25</f>
        <v>4.190977224856997</v>
      </c>
      <c r="D28" s="42"/>
      <c r="E28" s="42"/>
      <c r="F28" s="42"/>
    </row>
    <row r="29" spans="1:6" ht="15">
      <c r="A29" s="29"/>
      <c r="B29" s="30"/>
      <c r="C29" s="44"/>
      <c r="D29" s="42"/>
      <c r="E29" s="42"/>
      <c r="F29" s="42"/>
    </row>
    <row r="30" spans="1:6" ht="33" customHeight="1">
      <c r="A30" s="138" t="s">
        <v>39</v>
      </c>
      <c r="B30" s="138"/>
      <c r="C30" s="138"/>
      <c r="D30" s="138"/>
      <c r="E30" s="138"/>
      <c r="F30" s="138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4</v>
      </c>
      <c r="C32" s="9" t="s">
        <v>5</v>
      </c>
      <c r="D32" s="9" t="s">
        <v>6</v>
      </c>
      <c r="E32" s="9" t="s">
        <v>7</v>
      </c>
      <c r="F32" s="2"/>
    </row>
    <row r="33" spans="1:5" ht="30.75" customHeight="1">
      <c r="A33" s="139" t="s">
        <v>40</v>
      </c>
      <c r="B33" s="139"/>
      <c r="C33" s="139"/>
      <c r="D33" s="12">
        <f>D34</f>
        <v>12.759599999999999</v>
      </c>
      <c r="E33" s="12">
        <f>E34</f>
        <v>0.01</v>
      </c>
    </row>
    <row r="34" spans="1:5" ht="30">
      <c r="A34" s="15">
        <v>1</v>
      </c>
      <c r="B34" s="45" t="s">
        <v>41</v>
      </c>
      <c r="C34" s="45" t="s">
        <v>42</v>
      </c>
      <c r="D34" s="17">
        <f>E34*12*$D$2</f>
        <v>12.759599999999999</v>
      </c>
      <c r="E34" s="46">
        <v>0.01</v>
      </c>
    </row>
    <row r="35" spans="1:5" ht="32.25" customHeight="1">
      <c r="A35" s="139" t="s">
        <v>43</v>
      </c>
      <c r="B35" s="139"/>
      <c r="C35" s="139"/>
      <c r="D35" s="12">
        <f>D36+D37</f>
        <v>102.07679999999999</v>
      </c>
      <c r="E35" s="12">
        <f>E36+E37</f>
        <v>0.08</v>
      </c>
    </row>
    <row r="36" spans="1:5" ht="28.5" customHeight="1">
      <c r="A36" s="15">
        <v>2</v>
      </c>
      <c r="B36" s="45" t="s">
        <v>44</v>
      </c>
      <c r="C36" s="45" t="s">
        <v>45</v>
      </c>
      <c r="D36" s="17">
        <f>E36*$D$2*12</f>
        <v>25.519199999999998</v>
      </c>
      <c r="E36" s="46">
        <v>0.02</v>
      </c>
    </row>
    <row r="37" spans="1:5" ht="15">
      <c r="A37" s="15">
        <v>3</v>
      </c>
      <c r="B37" s="47" t="s">
        <v>46</v>
      </c>
      <c r="C37" s="8" t="s">
        <v>42</v>
      </c>
      <c r="D37" s="17">
        <f>E37*$D$2*12</f>
        <v>76.5576</v>
      </c>
      <c r="E37" s="18">
        <v>0.06</v>
      </c>
    </row>
    <row r="38" spans="1:6" ht="15">
      <c r="A38" s="9"/>
      <c r="B38" s="27" t="s">
        <v>27</v>
      </c>
      <c r="C38" s="27"/>
      <c r="D38" s="48">
        <f>D33+D35</f>
        <v>114.8364</v>
      </c>
      <c r="E38" s="12">
        <f>E33+E35</f>
        <v>0.09</v>
      </c>
      <c r="F38" s="6"/>
    </row>
    <row r="39" spans="1:6" ht="15">
      <c r="A39" s="2"/>
      <c r="B39" s="2"/>
      <c r="C39" s="2"/>
      <c r="D39" s="2"/>
      <c r="E39" s="2"/>
      <c r="F39" s="2"/>
    </row>
    <row r="40" spans="1:6" ht="15">
      <c r="A40" s="34"/>
      <c r="B40" s="34"/>
      <c r="C40" s="34"/>
      <c r="D40" s="34"/>
      <c r="E40" s="34"/>
      <c r="F40" s="35"/>
    </row>
    <row r="41" spans="1:6" ht="105">
      <c r="A41" s="11" t="s">
        <v>28</v>
      </c>
      <c r="B41" s="11" t="s">
        <v>29</v>
      </c>
      <c r="C41" s="11" t="s">
        <v>30</v>
      </c>
      <c r="D41" s="11" t="s">
        <v>31</v>
      </c>
      <c r="E41" s="11" t="s">
        <v>47</v>
      </c>
      <c r="F41" s="11" t="s">
        <v>33</v>
      </c>
    </row>
    <row r="42" spans="1:6" ht="15">
      <c r="A42" s="11">
        <v>1</v>
      </c>
      <c r="B42" s="8" t="s">
        <v>123</v>
      </c>
      <c r="C42" s="11" t="s">
        <v>48</v>
      </c>
      <c r="D42" s="36">
        <v>722</v>
      </c>
      <c r="E42" s="50">
        <f>D42/12/$D$2</f>
        <v>0.5658484591993479</v>
      </c>
      <c r="F42" s="38">
        <v>2</v>
      </c>
    </row>
    <row r="43" spans="1:6" ht="15">
      <c r="A43" s="51"/>
      <c r="B43" s="51" t="s">
        <v>36</v>
      </c>
      <c r="C43" s="51"/>
      <c r="D43" s="52">
        <f>SUM(D42:D42)</f>
        <v>722</v>
      </c>
      <c r="E43" s="53">
        <f>SUM(E42:E42)</f>
        <v>0.5658484591993479</v>
      </c>
      <c r="F43" s="51"/>
    </row>
    <row r="45" spans="2:3" ht="43.5">
      <c r="B45" s="30" t="s">
        <v>218</v>
      </c>
      <c r="C45" s="81">
        <v>5347.519299828535</v>
      </c>
    </row>
  </sheetData>
  <mergeCells count="9">
    <mergeCell ref="A33:C33"/>
    <mergeCell ref="A35:C35"/>
    <mergeCell ref="A15:C15"/>
    <mergeCell ref="A18:C18"/>
    <mergeCell ref="A30:F30"/>
    <mergeCell ref="A4:E4"/>
    <mergeCell ref="A7:C7"/>
    <mergeCell ref="A9:C9"/>
    <mergeCell ref="A12:C12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49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219</v>
      </c>
    </row>
    <row r="2" spans="1:6" ht="18" customHeight="1">
      <c r="A2" s="2"/>
      <c r="B2" s="1" t="s">
        <v>220</v>
      </c>
      <c r="C2" s="4"/>
      <c r="D2" s="5">
        <v>182.16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30.75" customHeight="1">
      <c r="A7" s="145" t="s">
        <v>8</v>
      </c>
      <c r="B7" s="146"/>
      <c r="C7" s="146"/>
      <c r="D7" s="12">
        <f>SUM(D8:D14)</f>
        <v>3763.0833575884794</v>
      </c>
      <c r="E7" s="12">
        <f>SUM(E8:E14)</f>
        <v>1.7215100999068946</v>
      </c>
      <c r="F7" s="13"/>
    </row>
    <row r="8" spans="1:6" ht="34.5" customHeight="1">
      <c r="A8" s="15">
        <v>1</v>
      </c>
      <c r="B8" s="8" t="s">
        <v>153</v>
      </c>
      <c r="C8" s="16" t="s">
        <v>147</v>
      </c>
      <c r="D8" s="17">
        <f>E8*$D$2*12</f>
        <v>290.52344966515943</v>
      </c>
      <c r="E8" s="60">
        <v>0.13290671646956861</v>
      </c>
      <c r="F8" s="2"/>
    </row>
    <row r="9" spans="1:8" ht="15.75" customHeight="1">
      <c r="A9" s="15">
        <v>2</v>
      </c>
      <c r="B9" s="8" t="s">
        <v>146</v>
      </c>
      <c r="C9" s="16" t="s">
        <v>147</v>
      </c>
      <c r="D9" s="17">
        <f aca="true" t="shared" si="0" ref="D9:D14">E9*$D$2*12</f>
        <v>48.97741155605146</v>
      </c>
      <c r="E9" s="60">
        <v>0.022405857284828107</v>
      </c>
      <c r="F9" s="2"/>
      <c r="H9" s="56"/>
    </row>
    <row r="10" spans="1:9" ht="15.75" customHeight="1">
      <c r="A10" s="15">
        <v>3</v>
      </c>
      <c r="B10" s="8" t="s">
        <v>9</v>
      </c>
      <c r="C10" s="16" t="s">
        <v>10</v>
      </c>
      <c r="D10" s="17">
        <f t="shared" si="0"/>
        <v>326.0795582207703</v>
      </c>
      <c r="E10" s="60">
        <v>0.14917268620112828</v>
      </c>
      <c r="F10" s="2"/>
      <c r="H10" s="61"/>
      <c r="I10" s="61"/>
    </row>
    <row r="11" spans="1:9" ht="30">
      <c r="A11" s="15">
        <v>4</v>
      </c>
      <c r="B11" s="8" t="s">
        <v>158</v>
      </c>
      <c r="C11" s="22" t="s">
        <v>149</v>
      </c>
      <c r="D11" s="17">
        <f t="shared" si="0"/>
        <v>371.4078191742095</v>
      </c>
      <c r="E11" s="60">
        <v>0.16990915457757352</v>
      </c>
      <c r="F11" s="2"/>
      <c r="H11" s="56"/>
      <c r="I11" s="56"/>
    </row>
    <row r="12" spans="1:9" ht="60">
      <c r="A12" s="15">
        <v>5</v>
      </c>
      <c r="B12" s="16" t="s">
        <v>159</v>
      </c>
      <c r="C12" s="16" t="s">
        <v>160</v>
      </c>
      <c r="D12" s="17">
        <f t="shared" si="0"/>
        <v>1980.8417022624503</v>
      </c>
      <c r="E12" s="60">
        <v>0.9061821577470586</v>
      </c>
      <c r="F12" s="2"/>
      <c r="H12" s="56"/>
      <c r="I12" s="61"/>
    </row>
    <row r="13" spans="1:9" ht="15.75" customHeight="1">
      <c r="A13" s="15">
        <v>6</v>
      </c>
      <c r="B13" s="22" t="s">
        <v>46</v>
      </c>
      <c r="C13" s="22" t="s">
        <v>161</v>
      </c>
      <c r="D13" s="17">
        <f t="shared" si="0"/>
        <v>701.6053121160758</v>
      </c>
      <c r="E13" s="60">
        <v>0.32096568589704827</v>
      </c>
      <c r="F13" s="2"/>
      <c r="H13" s="62"/>
      <c r="I13" s="61"/>
    </row>
    <row r="14" spans="1:9" ht="15.75" customHeight="1">
      <c r="A14" s="15">
        <v>7</v>
      </c>
      <c r="B14" s="22" t="s">
        <v>150</v>
      </c>
      <c r="C14" s="22" t="s">
        <v>18</v>
      </c>
      <c r="D14" s="17">
        <f t="shared" si="0"/>
        <v>43.648104593762454</v>
      </c>
      <c r="E14" s="60">
        <v>0.01996784172968931</v>
      </c>
      <c r="F14" s="21"/>
      <c r="H14" s="62"/>
      <c r="I14" s="56"/>
    </row>
    <row r="15" spans="1:9" ht="15">
      <c r="A15" s="140" t="s">
        <v>11</v>
      </c>
      <c r="B15" s="141"/>
      <c r="C15" s="142"/>
      <c r="D15" s="12">
        <f>SUM(D16:D17)</f>
        <v>2220.425523469835</v>
      </c>
      <c r="E15" s="12">
        <f>SUM(E16:E17)</f>
        <v>1.0157853551227103</v>
      </c>
      <c r="F15" s="19"/>
      <c r="H15" s="62"/>
      <c r="I15" s="56"/>
    </row>
    <row r="16" spans="1:6" ht="15.75" customHeight="1">
      <c r="A16" s="15">
        <v>8</v>
      </c>
      <c r="B16" s="8" t="s">
        <v>12</v>
      </c>
      <c r="C16" s="16" t="s">
        <v>13</v>
      </c>
      <c r="D16" s="17">
        <f>E16*$D$2*12</f>
        <v>2031.496361820526</v>
      </c>
      <c r="E16" s="63">
        <v>0.9293553111827175</v>
      </c>
      <c r="F16" s="21"/>
    </row>
    <row r="17" spans="1:6" ht="30">
      <c r="A17" s="15">
        <v>9</v>
      </c>
      <c r="B17" s="22" t="s">
        <v>14</v>
      </c>
      <c r="C17" s="22" t="s">
        <v>15</v>
      </c>
      <c r="D17" s="17">
        <f>E17*$D$2*12</f>
        <v>188.92916164930892</v>
      </c>
      <c r="E17" s="63">
        <v>0.08643004393999273</v>
      </c>
      <c r="F17" s="21"/>
    </row>
    <row r="18" spans="1:6" ht="30" customHeight="1">
      <c r="A18" s="140" t="s">
        <v>16</v>
      </c>
      <c r="B18" s="143"/>
      <c r="C18" s="144"/>
      <c r="D18" s="23">
        <f>SUM(D19:D20)</f>
        <v>114.91230815874498</v>
      </c>
      <c r="E18" s="23">
        <f>SUM(E19:E20)</f>
        <v>0.05256931093486723</v>
      </c>
      <c r="F18" s="21"/>
    </row>
    <row r="19" spans="1:6" ht="31.5" customHeight="1">
      <c r="A19" s="15">
        <v>10</v>
      </c>
      <c r="B19" s="22" t="s">
        <v>17</v>
      </c>
      <c r="C19" s="22" t="s">
        <v>18</v>
      </c>
      <c r="D19" s="17">
        <f>E19*12*$D$2</f>
        <v>60.65174830959965</v>
      </c>
      <c r="E19" s="60">
        <v>0.02774655445286179</v>
      </c>
      <c r="F19" s="13"/>
    </row>
    <row r="20" spans="1:6" ht="60">
      <c r="A20" s="15">
        <v>11</v>
      </c>
      <c r="B20" s="22" t="s">
        <v>19</v>
      </c>
      <c r="C20" s="22" t="s">
        <v>18</v>
      </c>
      <c r="D20" s="17">
        <f>E20*12*$D$2</f>
        <v>54.26055984914533</v>
      </c>
      <c r="E20" s="60">
        <v>0.02482275648200544</v>
      </c>
      <c r="F20" s="2"/>
    </row>
    <row r="21" spans="1:6" ht="15">
      <c r="A21" s="145" t="s">
        <v>20</v>
      </c>
      <c r="B21" s="146"/>
      <c r="C21" s="146"/>
      <c r="D21" s="24">
        <f>SUM(D22:D23)</f>
        <v>1913.0154425237408</v>
      </c>
      <c r="E21" s="24">
        <f>SUM(E22:E23)</f>
        <v>0.8751534559927815</v>
      </c>
      <c r="F21" s="2"/>
    </row>
    <row r="22" spans="1:10" ht="60">
      <c r="A22" s="15">
        <v>12</v>
      </c>
      <c r="B22" s="22" t="s">
        <v>86</v>
      </c>
      <c r="C22" s="22" t="s">
        <v>18</v>
      </c>
      <c r="D22" s="17">
        <f>E22*12*$D$2</f>
        <v>115.9303571770831</v>
      </c>
      <c r="E22" s="63">
        <v>0.053035041162111655</v>
      </c>
      <c r="F22" s="2"/>
      <c r="H22" s="64"/>
      <c r="I22" s="64"/>
      <c r="J22" s="65"/>
    </row>
    <row r="23" spans="1:10" ht="90">
      <c r="A23" s="15">
        <v>13</v>
      </c>
      <c r="B23" s="22" t="s">
        <v>22</v>
      </c>
      <c r="C23" s="22" t="s">
        <v>79</v>
      </c>
      <c r="D23" s="17">
        <f>E23*12*$D$2</f>
        <v>1797.0850853466577</v>
      </c>
      <c r="E23" s="63">
        <v>0.8221184148306698</v>
      </c>
      <c r="F23" s="2"/>
      <c r="H23" s="64"/>
      <c r="I23" s="64"/>
      <c r="J23" s="65"/>
    </row>
    <row r="24" spans="1:6" ht="15">
      <c r="A24" s="145" t="s">
        <v>24</v>
      </c>
      <c r="B24" s="145"/>
      <c r="C24" s="145"/>
      <c r="D24" s="25">
        <f>SUM(D25)</f>
        <v>241.16400000000004</v>
      </c>
      <c r="E24" s="23">
        <f>SUM(E25)</f>
        <v>0.11032608695652177</v>
      </c>
      <c r="F24" s="2"/>
    </row>
    <row r="25" spans="1:6" ht="15">
      <c r="A25" s="15">
        <v>14</v>
      </c>
      <c r="B25" s="22" t="s">
        <v>25</v>
      </c>
      <c r="C25" s="22" t="s">
        <v>26</v>
      </c>
      <c r="D25" s="17">
        <f>E25*12*$D$2</f>
        <v>241.16400000000004</v>
      </c>
      <c r="E25" s="63">
        <v>0.11032608695652177</v>
      </c>
      <c r="F25" s="2"/>
    </row>
    <row r="26" spans="1:6" ht="15">
      <c r="A26" s="145" t="s">
        <v>151</v>
      </c>
      <c r="B26" s="145"/>
      <c r="C26" s="145"/>
      <c r="D26" s="25">
        <f>SUM(D27:D27)</f>
        <v>67.16405359037678</v>
      </c>
      <c r="E26" s="23">
        <f>SUM(E27:E27)</f>
        <v>0.0307257601332056</v>
      </c>
      <c r="F26" s="2"/>
    </row>
    <row r="27" spans="1:6" ht="30">
      <c r="A27" s="15">
        <v>15</v>
      </c>
      <c r="B27" s="22" t="s">
        <v>152</v>
      </c>
      <c r="C27" s="22" t="s">
        <v>15</v>
      </c>
      <c r="D27" s="17">
        <f>E27*12*$D$2</f>
        <v>67.16405359037678</v>
      </c>
      <c r="E27" s="63">
        <f>0.0311757601332056-0.00045</f>
        <v>0.0307257601332056</v>
      </c>
      <c r="F27" s="2"/>
    </row>
    <row r="28" spans="1:6" ht="15">
      <c r="A28" s="9"/>
      <c r="B28" s="27" t="s">
        <v>27</v>
      </c>
      <c r="C28" s="27"/>
      <c r="D28" s="48">
        <f>D7+D15+D18+D21+D24+D26</f>
        <v>8319.764685331178</v>
      </c>
      <c r="E28" s="12">
        <f>E7+E15+E18+E21+E24+E26</f>
        <v>3.8060700690469806</v>
      </c>
      <c r="F28" s="6"/>
    </row>
    <row r="29" spans="1:6" ht="15">
      <c r="A29" s="29"/>
      <c r="B29" s="30"/>
      <c r="C29" s="31"/>
      <c r="D29" s="32"/>
      <c r="E29" s="33"/>
      <c r="F29" s="2"/>
    </row>
    <row r="30" spans="1:6" ht="15">
      <c r="A30" s="30"/>
      <c r="B30" s="30"/>
      <c r="C30" s="30"/>
      <c r="D30" s="30"/>
      <c r="E30" s="30"/>
      <c r="F30" s="29"/>
    </row>
    <row r="31" spans="1:6" ht="105">
      <c r="A31" s="11" t="s">
        <v>28</v>
      </c>
      <c r="B31" s="11" t="s">
        <v>29</v>
      </c>
      <c r="C31" s="11" t="s">
        <v>30</v>
      </c>
      <c r="D31" s="11" t="s">
        <v>31</v>
      </c>
      <c r="E31" s="11" t="s">
        <v>32</v>
      </c>
      <c r="F31" s="11" t="s">
        <v>33</v>
      </c>
    </row>
    <row r="32" spans="1:6" ht="15">
      <c r="A32" s="11">
        <v>1</v>
      </c>
      <c r="B32" s="8" t="s">
        <v>123</v>
      </c>
      <c r="C32" s="11" t="s">
        <v>182</v>
      </c>
      <c r="D32" s="11">
        <v>4760.8</v>
      </c>
      <c r="E32" s="37">
        <f>D32/12/$D$2</f>
        <v>2.1779388083735913</v>
      </c>
      <c r="F32" s="38">
        <v>2</v>
      </c>
    </row>
    <row r="33" spans="1:6" ht="15">
      <c r="A33" s="11"/>
      <c r="B33" s="39" t="s">
        <v>36</v>
      </c>
      <c r="C33" s="10"/>
      <c r="D33" s="54">
        <f>SUM(D32:D32)</f>
        <v>4760.8</v>
      </c>
      <c r="E33" s="40">
        <f>SUM(E32:E32)</f>
        <v>2.1779388083735913</v>
      </c>
      <c r="F33" s="41"/>
    </row>
    <row r="34" spans="1:6" ht="15">
      <c r="A34" s="29"/>
      <c r="B34" s="30"/>
      <c r="C34" s="42"/>
      <c r="D34" s="42"/>
      <c r="E34" s="42"/>
      <c r="F34" s="42"/>
    </row>
    <row r="35" spans="1:6" ht="29.25">
      <c r="A35" s="29"/>
      <c r="B35" s="30" t="s">
        <v>37</v>
      </c>
      <c r="C35" s="43">
        <f>D28+D33</f>
        <v>13080.564685331177</v>
      </c>
      <c r="D35" s="43"/>
      <c r="E35" s="43"/>
      <c r="F35" s="42"/>
    </row>
    <row r="36" spans="1:6" ht="15">
      <c r="A36" s="29"/>
      <c r="B36" s="30" t="s">
        <v>38</v>
      </c>
      <c r="C36" s="44">
        <f>E28+E33</f>
        <v>5.984008877420572</v>
      </c>
      <c r="D36" s="42"/>
      <c r="E36" s="42"/>
      <c r="F36" s="42"/>
    </row>
    <row r="37" spans="1:6" ht="15">
      <c r="A37" s="29"/>
      <c r="B37" s="30"/>
      <c r="C37" s="44"/>
      <c r="D37" s="42"/>
      <c r="E37" s="42"/>
      <c r="F37" s="42"/>
    </row>
    <row r="38" spans="1:6" ht="15">
      <c r="A38" s="2"/>
      <c r="B38" s="2"/>
      <c r="C38" s="2"/>
      <c r="D38" s="2"/>
      <c r="E38" s="2"/>
      <c r="F38" s="2"/>
    </row>
    <row r="39" spans="1:6" ht="33" customHeight="1">
      <c r="A39" s="138" t="s">
        <v>39</v>
      </c>
      <c r="B39" s="138"/>
      <c r="C39" s="138"/>
      <c r="D39" s="138"/>
      <c r="E39" s="138"/>
      <c r="F39" s="138"/>
    </row>
    <row r="40" spans="1:6" ht="15">
      <c r="A40" s="1"/>
      <c r="B40" s="1"/>
      <c r="C40" s="1"/>
      <c r="D40" s="2"/>
      <c r="E40" s="2"/>
      <c r="F40" s="2"/>
    </row>
    <row r="41" spans="1:6" ht="71.25">
      <c r="A41" s="8"/>
      <c r="B41" s="9" t="s">
        <v>4</v>
      </c>
      <c r="C41" s="9" t="s">
        <v>5</v>
      </c>
      <c r="D41" s="9" t="s">
        <v>6</v>
      </c>
      <c r="E41" s="9" t="s">
        <v>7</v>
      </c>
      <c r="F41" s="2"/>
    </row>
    <row r="42" spans="1:5" ht="30" customHeight="1">
      <c r="A42" s="139" t="s">
        <v>40</v>
      </c>
      <c r="B42" s="139"/>
      <c r="C42" s="139"/>
      <c r="D42" s="12">
        <f>D43</f>
        <v>21.859199999999998</v>
      </c>
      <c r="E42" s="12">
        <f>E43</f>
        <v>0.01</v>
      </c>
    </row>
    <row r="43" spans="1:5" ht="30">
      <c r="A43" s="15">
        <v>1</v>
      </c>
      <c r="B43" s="45" t="s">
        <v>41</v>
      </c>
      <c r="C43" s="45" t="s">
        <v>42</v>
      </c>
      <c r="D43" s="17">
        <f>E43*12*$D$2</f>
        <v>21.859199999999998</v>
      </c>
      <c r="E43" s="46">
        <v>0.01</v>
      </c>
    </row>
    <row r="44" spans="1:5" ht="32.25" customHeight="1">
      <c r="A44" s="139" t="s">
        <v>43</v>
      </c>
      <c r="B44" s="139"/>
      <c r="C44" s="139"/>
      <c r="D44" s="12">
        <f>D45+D46+D47</f>
        <v>655.7760000000001</v>
      </c>
      <c r="E44" s="12">
        <f>E45+E46+E47</f>
        <v>0.3</v>
      </c>
    </row>
    <row r="45" spans="1:5" ht="28.5" customHeight="1">
      <c r="A45" s="15">
        <v>2</v>
      </c>
      <c r="B45" s="45" t="s">
        <v>44</v>
      </c>
      <c r="C45" s="45" t="s">
        <v>45</v>
      </c>
      <c r="D45" s="17">
        <f>E45*$D$2*12</f>
        <v>43.7184</v>
      </c>
      <c r="E45" s="46">
        <v>0.02</v>
      </c>
    </row>
    <row r="46" spans="1:5" ht="30">
      <c r="A46" s="15">
        <v>3</v>
      </c>
      <c r="B46" s="87" t="s">
        <v>153</v>
      </c>
      <c r="C46" s="87" t="s">
        <v>154</v>
      </c>
      <c r="D46" s="17">
        <f>E46*$D$2*12</f>
        <v>480.90240000000006</v>
      </c>
      <c r="E46" s="46">
        <v>0.22</v>
      </c>
    </row>
    <row r="47" spans="1:5" ht="30">
      <c r="A47" s="15">
        <v>4</v>
      </c>
      <c r="B47" s="47" t="s">
        <v>46</v>
      </c>
      <c r="C47" s="8" t="s">
        <v>165</v>
      </c>
      <c r="D47" s="17">
        <f>E47*$D$2*12</f>
        <v>131.15519999999998</v>
      </c>
      <c r="E47" s="18">
        <v>0.06</v>
      </c>
    </row>
    <row r="48" spans="1:6" ht="15">
      <c r="A48" s="9"/>
      <c r="B48" s="27" t="s">
        <v>27</v>
      </c>
      <c r="C48" s="27"/>
      <c r="D48" s="48">
        <f>D42+D44</f>
        <v>677.6352</v>
      </c>
      <c r="E48" s="12">
        <f>E42+E44</f>
        <v>0.31</v>
      </c>
      <c r="F48" s="6"/>
    </row>
    <row r="49" spans="1:6" ht="15">
      <c r="A49" s="2"/>
      <c r="B49" s="2"/>
      <c r="C49" s="2"/>
      <c r="D49" s="2"/>
      <c r="E49" s="2"/>
      <c r="F49" s="2"/>
    </row>
    <row r="50" spans="1:6" ht="15">
      <c r="A50" s="34"/>
      <c r="B50" s="34"/>
      <c r="C50" s="34"/>
      <c r="D50" s="34"/>
      <c r="E50" s="34"/>
      <c r="F50" s="35"/>
    </row>
    <row r="51" spans="1:6" ht="105">
      <c r="A51" s="11" t="s">
        <v>28</v>
      </c>
      <c r="B51" s="11" t="s">
        <v>29</v>
      </c>
      <c r="C51" s="11" t="s">
        <v>30</v>
      </c>
      <c r="D51" s="11" t="s">
        <v>31</v>
      </c>
      <c r="E51" s="11" t="s">
        <v>47</v>
      </c>
      <c r="F51" s="11" t="s">
        <v>33</v>
      </c>
    </row>
    <row r="52" spans="1:6" ht="15">
      <c r="A52" s="11">
        <v>1</v>
      </c>
      <c r="B52" s="8" t="s">
        <v>123</v>
      </c>
      <c r="C52" s="11" t="s">
        <v>124</v>
      </c>
      <c r="D52" s="36">
        <v>1098.6</v>
      </c>
      <c r="E52" s="50">
        <f>D52/12/$D$2</f>
        <v>0.5025801493192797</v>
      </c>
      <c r="F52" s="38">
        <v>2</v>
      </c>
    </row>
    <row r="53" spans="1:6" ht="15">
      <c r="A53" s="51"/>
      <c r="B53" s="51" t="s">
        <v>36</v>
      </c>
      <c r="C53" s="51"/>
      <c r="D53" s="52">
        <f>SUM(D52:D52)</f>
        <v>1098.6</v>
      </c>
      <c r="E53" s="53">
        <f>SUM(E52:E52)</f>
        <v>0.5025801493192797</v>
      </c>
      <c r="F53" s="51"/>
    </row>
    <row r="55" spans="2:4" ht="43.5">
      <c r="B55" s="30" t="s">
        <v>221</v>
      </c>
      <c r="D55" s="81">
        <v>13080.564685331177</v>
      </c>
    </row>
  </sheetData>
  <mergeCells count="10">
    <mergeCell ref="A42:C42"/>
    <mergeCell ref="A44:C44"/>
    <mergeCell ref="A21:C21"/>
    <mergeCell ref="A24:C24"/>
    <mergeCell ref="A26:C26"/>
    <mergeCell ref="A39:F39"/>
    <mergeCell ref="A4:E4"/>
    <mergeCell ref="A7:C7"/>
    <mergeCell ref="A15:C15"/>
    <mergeCell ref="A18:C18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34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137</v>
      </c>
    </row>
    <row r="2" spans="1:6" ht="23.25" customHeight="1">
      <c r="A2" s="2"/>
      <c r="B2" s="1" t="s">
        <v>138</v>
      </c>
      <c r="C2" s="4"/>
      <c r="D2" s="5">
        <v>121.2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79" t="s">
        <v>7</v>
      </c>
      <c r="F6" s="2"/>
    </row>
    <row r="7" spans="1:6" ht="30.75" customHeight="1">
      <c r="A7" s="145" t="s">
        <v>8</v>
      </c>
      <c r="B7" s="146"/>
      <c r="C7" s="146"/>
      <c r="D7" s="12">
        <f>SUM(D8:D8)</f>
        <v>521.7272931532327</v>
      </c>
      <c r="E7" s="12">
        <f>SUM(E8:E8)</f>
        <v>0.35872338638148565</v>
      </c>
      <c r="F7" s="13"/>
    </row>
    <row r="8" spans="1:9" ht="15.75" customHeight="1">
      <c r="A8" s="15">
        <v>1</v>
      </c>
      <c r="B8" s="8" t="s">
        <v>9</v>
      </c>
      <c r="C8" s="16" t="s">
        <v>10</v>
      </c>
      <c r="D8" s="17">
        <f>E8*$D$2*12</f>
        <v>521.7272931532327</v>
      </c>
      <c r="E8" s="60">
        <v>0.35872338638148565</v>
      </c>
      <c r="F8" s="2"/>
      <c r="H8" s="61"/>
      <c r="I8" s="61"/>
    </row>
    <row r="9" spans="1:9" ht="15">
      <c r="A9" s="140" t="s">
        <v>11</v>
      </c>
      <c r="B9" s="141"/>
      <c r="C9" s="142"/>
      <c r="D9" s="12">
        <f>SUM(D10:D11)</f>
        <v>1184.2269458505787</v>
      </c>
      <c r="E9" s="12">
        <f>SUM(E10:E11)</f>
        <v>0.8142374490171745</v>
      </c>
      <c r="F9" s="19"/>
      <c r="H9" s="62"/>
      <c r="I9" s="61"/>
    </row>
    <row r="10" spans="1:9" ht="15.75" customHeight="1">
      <c r="A10" s="15">
        <v>2</v>
      </c>
      <c r="B10" s="8" t="s">
        <v>12</v>
      </c>
      <c r="C10" s="16" t="s">
        <v>13</v>
      </c>
      <c r="D10" s="17">
        <f>E10*$D$2*12</f>
        <v>1083.4647263042805</v>
      </c>
      <c r="E10" s="63">
        <v>0.7449564949836912</v>
      </c>
      <c r="F10" s="21"/>
      <c r="H10" s="62"/>
      <c r="I10" s="56"/>
    </row>
    <row r="11" spans="1:9" ht="30">
      <c r="A11" s="15">
        <v>3</v>
      </c>
      <c r="B11" s="22" t="s">
        <v>14</v>
      </c>
      <c r="C11" s="22" t="s">
        <v>15</v>
      </c>
      <c r="D11" s="17">
        <f>E11*$D$2*12</f>
        <v>100.7622195462981</v>
      </c>
      <c r="E11" s="63">
        <v>0.06928095403348329</v>
      </c>
      <c r="F11" s="21"/>
      <c r="H11" s="62"/>
      <c r="I11" s="56"/>
    </row>
    <row r="12" spans="1:6" ht="30" customHeight="1">
      <c r="A12" s="140" t="s">
        <v>16</v>
      </c>
      <c r="B12" s="143"/>
      <c r="C12" s="144"/>
      <c r="D12" s="23">
        <f>SUM(D13:D14)</f>
        <v>124.16104040523501</v>
      </c>
      <c r="E12" s="23">
        <f>SUM(E13:E14)</f>
        <v>0.08536925220381947</v>
      </c>
      <c r="F12" s="21"/>
    </row>
    <row r="13" spans="1:6" ht="30.75" customHeight="1">
      <c r="A13" s="15">
        <v>4</v>
      </c>
      <c r="B13" s="22" t="s">
        <v>17</v>
      </c>
      <c r="C13" s="22" t="s">
        <v>18</v>
      </c>
      <c r="D13" s="17">
        <f>E13*12*$D$2</f>
        <v>47.19022995124923</v>
      </c>
      <c r="E13" s="60">
        <v>0.03244652774425827</v>
      </c>
      <c r="F13" s="13"/>
    </row>
    <row r="14" spans="1:6" ht="60">
      <c r="A14" s="15">
        <v>5</v>
      </c>
      <c r="B14" s="22" t="s">
        <v>19</v>
      </c>
      <c r="C14" s="22" t="s">
        <v>18</v>
      </c>
      <c r="D14" s="17">
        <f>E14*12*$D$2</f>
        <v>76.97081045398579</v>
      </c>
      <c r="E14" s="17">
        <v>0.05292272445956119</v>
      </c>
      <c r="F14" s="2"/>
    </row>
    <row r="15" spans="1:6" ht="15">
      <c r="A15" s="145" t="s">
        <v>20</v>
      </c>
      <c r="B15" s="146"/>
      <c r="C15" s="146"/>
      <c r="D15" s="24">
        <f>SUM(D16:D17)</f>
        <v>3478.8031103418843</v>
      </c>
      <c r="E15" s="24">
        <f>SUM(E16:E17)</f>
        <v>2.3919163299930446</v>
      </c>
      <c r="F15" s="2"/>
    </row>
    <row r="16" spans="1:10" ht="60">
      <c r="A16" s="15">
        <v>6</v>
      </c>
      <c r="B16" s="22" t="s">
        <v>86</v>
      </c>
      <c r="C16" s="22" t="s">
        <v>18</v>
      </c>
      <c r="D16" s="17">
        <f>E16*12*$D$2</f>
        <v>212.566437198574</v>
      </c>
      <c r="E16" s="63">
        <v>0.14615404097811743</v>
      </c>
      <c r="F16" s="2"/>
      <c r="H16" s="64"/>
      <c r="I16" s="64"/>
      <c r="J16" s="65"/>
    </row>
    <row r="17" spans="1:10" ht="90">
      <c r="A17" s="15">
        <v>7</v>
      </c>
      <c r="B17" s="22" t="s">
        <v>22</v>
      </c>
      <c r="C17" s="22" t="s">
        <v>139</v>
      </c>
      <c r="D17" s="17">
        <f>E17*12*$D$2</f>
        <v>3266.2366731433103</v>
      </c>
      <c r="E17" s="63">
        <v>2.245762289014927</v>
      </c>
      <c r="F17" s="2"/>
      <c r="H17" s="64"/>
      <c r="I17" s="64"/>
      <c r="J17" s="65"/>
    </row>
    <row r="18" spans="1:6" ht="15">
      <c r="A18" s="145" t="s">
        <v>24</v>
      </c>
      <c r="B18" s="145"/>
      <c r="C18" s="145"/>
      <c r="D18" s="25">
        <f>SUM(D19)</f>
        <v>382.20921568537034</v>
      </c>
      <c r="E18" s="23">
        <f>SUM(E19)</f>
        <v>0.26279511529522165</v>
      </c>
      <c r="F18" s="2"/>
    </row>
    <row r="19" spans="1:9" ht="15">
      <c r="A19" s="15">
        <v>8</v>
      </c>
      <c r="B19" s="22" t="s">
        <v>25</v>
      </c>
      <c r="C19" s="22" t="s">
        <v>26</v>
      </c>
      <c r="D19" s="17">
        <f>E19*12*$D$2</f>
        <v>382.20921568537034</v>
      </c>
      <c r="E19" s="63">
        <v>0.26279511529522165</v>
      </c>
      <c r="F19" s="2"/>
      <c r="H19" s="64"/>
      <c r="I19" s="80"/>
    </row>
    <row r="20" spans="1:6" ht="15">
      <c r="A20" s="9"/>
      <c r="B20" s="27" t="s">
        <v>27</v>
      </c>
      <c r="C20" s="27"/>
      <c r="D20" s="48">
        <f>D7+D9+D12+D15+D18</f>
        <v>5691.127605436302</v>
      </c>
      <c r="E20" s="12">
        <f>E7+E9+E12+E15+E18+0.001</f>
        <v>3.914041532890746</v>
      </c>
      <c r="F20" s="6"/>
    </row>
    <row r="21" spans="1:6" ht="15">
      <c r="A21" s="29"/>
      <c r="B21" s="30"/>
      <c r="C21" s="31"/>
      <c r="D21" s="32"/>
      <c r="E21" s="33"/>
      <c r="F21" s="2"/>
    </row>
    <row r="22" spans="1:6" ht="105">
      <c r="A22" s="11" t="s">
        <v>28</v>
      </c>
      <c r="B22" s="11" t="s">
        <v>29</v>
      </c>
      <c r="C22" s="11" t="s">
        <v>30</v>
      </c>
      <c r="D22" s="11" t="s">
        <v>31</v>
      </c>
      <c r="E22" s="11" t="s">
        <v>32</v>
      </c>
      <c r="F22" s="11" t="s">
        <v>33</v>
      </c>
    </row>
    <row r="23" spans="1:6" ht="15">
      <c r="A23" s="11">
        <v>1</v>
      </c>
      <c r="B23" s="8" t="s">
        <v>140</v>
      </c>
      <c r="C23" s="11" t="s">
        <v>141</v>
      </c>
      <c r="D23" s="11">
        <v>3168</v>
      </c>
      <c r="E23" s="37">
        <f>D23/12/$D$2</f>
        <v>2.1782178217821784</v>
      </c>
      <c r="F23" s="38">
        <v>2</v>
      </c>
    </row>
    <row r="24" spans="1:6" ht="15">
      <c r="A24" s="11"/>
      <c r="B24" s="39" t="s">
        <v>36</v>
      </c>
      <c r="C24" s="10"/>
      <c r="D24" s="54">
        <f>SUM(D23:D23)</f>
        <v>3168</v>
      </c>
      <c r="E24" s="40">
        <f>SUM(E23:E23)</f>
        <v>2.1782178217821784</v>
      </c>
      <c r="F24" s="41"/>
    </row>
    <row r="25" spans="1:6" ht="15">
      <c r="A25" s="29"/>
      <c r="B25" s="30"/>
      <c r="C25" s="42"/>
      <c r="D25" s="42"/>
      <c r="E25" s="42"/>
      <c r="F25" s="42"/>
    </row>
    <row r="26" spans="1:6" ht="29.25">
      <c r="A26" s="29"/>
      <c r="B26" s="30" t="s">
        <v>37</v>
      </c>
      <c r="C26" s="43">
        <f>D20+D24</f>
        <v>8859.1276054363</v>
      </c>
      <c r="D26" s="43"/>
      <c r="E26" s="43"/>
      <c r="F26" s="42"/>
    </row>
    <row r="27" spans="1:6" ht="15">
      <c r="A27" s="29"/>
      <c r="B27" s="30" t="s">
        <v>38</v>
      </c>
      <c r="C27" s="44">
        <f>E20+E24</f>
        <v>6.092259354672924</v>
      </c>
      <c r="D27" s="42"/>
      <c r="E27" s="42"/>
      <c r="F27" s="42"/>
    </row>
    <row r="28" spans="1:6" ht="15">
      <c r="A28" s="29"/>
      <c r="B28" s="30"/>
      <c r="C28" s="44"/>
      <c r="D28" s="42"/>
      <c r="E28" s="42"/>
      <c r="F28" s="42"/>
    </row>
    <row r="29" spans="1:6" ht="33" customHeight="1">
      <c r="A29" s="138" t="s">
        <v>39</v>
      </c>
      <c r="B29" s="138"/>
      <c r="C29" s="138"/>
      <c r="D29" s="138"/>
      <c r="E29" s="138"/>
      <c r="F29" s="13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4</v>
      </c>
      <c r="C31" s="9" t="s">
        <v>5</v>
      </c>
      <c r="D31" s="9" t="s">
        <v>6</v>
      </c>
      <c r="E31" s="9" t="s">
        <v>7</v>
      </c>
      <c r="F31" s="2"/>
    </row>
    <row r="32" spans="1:5" ht="30" customHeight="1">
      <c r="A32" s="139" t="s">
        <v>40</v>
      </c>
      <c r="B32" s="139"/>
      <c r="C32" s="139"/>
      <c r="D32" s="12">
        <f>D33</f>
        <v>14.544</v>
      </c>
      <c r="E32" s="12">
        <f>E33</f>
        <v>0.01</v>
      </c>
    </row>
    <row r="33" spans="1:5" ht="30">
      <c r="A33" s="15">
        <v>1</v>
      </c>
      <c r="B33" s="45" t="s">
        <v>41</v>
      </c>
      <c r="C33" s="45" t="s">
        <v>42</v>
      </c>
      <c r="D33" s="17">
        <f>E33*12*$D$2</f>
        <v>14.544</v>
      </c>
      <c r="E33" s="46">
        <v>0.01</v>
      </c>
    </row>
    <row r="34" spans="1:5" ht="32.25" customHeight="1">
      <c r="A34" s="139" t="s">
        <v>43</v>
      </c>
      <c r="B34" s="139"/>
      <c r="C34" s="139"/>
      <c r="D34" s="12">
        <f>D35</f>
        <v>87.26400000000001</v>
      </c>
      <c r="E34" s="12">
        <f>E35</f>
        <v>0.06</v>
      </c>
    </row>
    <row r="35" spans="1:5" ht="15">
      <c r="A35" s="15">
        <v>2</v>
      </c>
      <c r="B35" s="47" t="s">
        <v>46</v>
      </c>
      <c r="C35" s="8" t="s">
        <v>42</v>
      </c>
      <c r="D35" s="17">
        <f>E35*$D$2*12</f>
        <v>87.26400000000001</v>
      </c>
      <c r="E35" s="18">
        <v>0.06</v>
      </c>
    </row>
    <row r="36" spans="1:6" ht="15">
      <c r="A36" s="9"/>
      <c r="B36" s="27" t="s">
        <v>27</v>
      </c>
      <c r="C36" s="27"/>
      <c r="D36" s="48">
        <f>D32+D34</f>
        <v>101.808</v>
      </c>
      <c r="E36" s="12">
        <f>E32+E34</f>
        <v>0.06999999999999999</v>
      </c>
      <c r="F36" s="6"/>
    </row>
    <row r="37" spans="1:6" ht="15">
      <c r="A37" s="2"/>
      <c r="B37" s="2"/>
      <c r="C37" s="2"/>
      <c r="D37" s="2"/>
      <c r="E37" s="2"/>
      <c r="F37" s="2"/>
    </row>
    <row r="38" spans="1:6" ht="15">
      <c r="A38" s="34"/>
      <c r="B38" s="34"/>
      <c r="C38" s="34"/>
      <c r="D38" s="34"/>
      <c r="E38" s="34"/>
      <c r="F38" s="35"/>
    </row>
    <row r="39" spans="1:6" ht="105">
      <c r="A39" s="11" t="s">
        <v>28</v>
      </c>
      <c r="B39" s="11" t="s">
        <v>29</v>
      </c>
      <c r="C39" s="11" t="s">
        <v>30</v>
      </c>
      <c r="D39" s="11" t="s">
        <v>31</v>
      </c>
      <c r="E39" s="11" t="s">
        <v>47</v>
      </c>
      <c r="F39" s="11" t="s">
        <v>33</v>
      </c>
    </row>
    <row r="40" spans="1:6" ht="15">
      <c r="A40" s="11">
        <v>1</v>
      </c>
      <c r="B40" s="8" t="s">
        <v>123</v>
      </c>
      <c r="C40" s="11" t="s">
        <v>142</v>
      </c>
      <c r="D40" s="36">
        <v>720</v>
      </c>
      <c r="E40" s="50">
        <f>D40/12/$D$2</f>
        <v>0.49504950495049505</v>
      </c>
      <c r="F40" s="38">
        <v>2</v>
      </c>
    </row>
    <row r="41" spans="1:6" ht="15">
      <c r="A41" s="51"/>
      <c r="B41" s="51" t="s">
        <v>36</v>
      </c>
      <c r="C41" s="51"/>
      <c r="D41" s="52">
        <f>SUM(D40:D40)</f>
        <v>720</v>
      </c>
      <c r="E41" s="53">
        <f>SUM(E40:E40)</f>
        <v>0.49504950495049505</v>
      </c>
      <c r="F41" s="51"/>
    </row>
    <row r="43" spans="2:4" ht="43.5">
      <c r="B43" s="30" t="s">
        <v>143</v>
      </c>
      <c r="D43" s="81">
        <v>8859.1276054363</v>
      </c>
    </row>
  </sheetData>
  <mergeCells count="9">
    <mergeCell ref="A34:C34"/>
    <mergeCell ref="A15:C15"/>
    <mergeCell ref="A18:C18"/>
    <mergeCell ref="A29:F29"/>
    <mergeCell ref="A32:C32"/>
    <mergeCell ref="A4:E4"/>
    <mergeCell ref="A7:C7"/>
    <mergeCell ref="A9:C9"/>
    <mergeCell ref="A12:C12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31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222</v>
      </c>
    </row>
    <row r="2" spans="1:6" ht="18.75" customHeight="1">
      <c r="A2" s="2"/>
      <c r="B2" s="1" t="s">
        <v>223</v>
      </c>
      <c r="C2" s="4"/>
      <c r="D2" s="5">
        <v>137.7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30.75" customHeight="1">
      <c r="A7" s="145" t="s">
        <v>8</v>
      </c>
      <c r="B7" s="146"/>
      <c r="C7" s="146"/>
      <c r="D7" s="12">
        <f>SUM(D8:D8)</f>
        <v>260.86364657661636</v>
      </c>
      <c r="E7" s="12">
        <f>SUM(E8:E8)</f>
        <v>0.15786955130514185</v>
      </c>
      <c r="F7" s="13"/>
    </row>
    <row r="8" spans="1:8" ht="15.75" customHeight="1">
      <c r="A8" s="15">
        <v>1</v>
      </c>
      <c r="B8" s="8" t="s">
        <v>9</v>
      </c>
      <c r="C8" s="16" t="s">
        <v>10</v>
      </c>
      <c r="D8" s="17">
        <f>E8*$D$2*12</f>
        <v>260.86364657661636</v>
      </c>
      <c r="E8" s="82">
        <v>0.15786955130514185</v>
      </c>
      <c r="F8" s="2"/>
      <c r="H8" s="61"/>
    </row>
    <row r="9" spans="1:6" ht="30" customHeight="1">
      <c r="A9" s="140" t="s">
        <v>64</v>
      </c>
      <c r="B9" s="143"/>
      <c r="C9" s="144"/>
      <c r="D9" s="23">
        <f>SUM(D10:D11)</f>
        <v>104.91833779173857</v>
      </c>
      <c r="E9" s="23">
        <f>SUM(E10:E11)</f>
        <v>0.06349451572968928</v>
      </c>
      <c r="F9" s="21"/>
    </row>
    <row r="10" spans="1:6" ht="33.75" customHeight="1">
      <c r="A10" s="15">
        <v>2</v>
      </c>
      <c r="B10" s="22" t="s">
        <v>17</v>
      </c>
      <c r="C10" s="22" t="s">
        <v>18</v>
      </c>
      <c r="D10" s="17">
        <f>E10*12*$D$2</f>
        <v>47.19022995124922</v>
      </c>
      <c r="E10" s="82">
        <v>0.028558599583181573</v>
      </c>
      <c r="F10" s="13"/>
    </row>
    <row r="11" spans="1:6" ht="60">
      <c r="A11" s="15">
        <v>3</v>
      </c>
      <c r="B11" s="22" t="s">
        <v>19</v>
      </c>
      <c r="C11" s="22" t="s">
        <v>18</v>
      </c>
      <c r="D11" s="17">
        <f>E11*12*$D$2</f>
        <v>57.72810784048934</v>
      </c>
      <c r="E11" s="84">
        <v>0.03493591614650771</v>
      </c>
      <c r="F11" s="2"/>
    </row>
    <row r="12" spans="1:6" ht="15">
      <c r="A12" s="145" t="s">
        <v>67</v>
      </c>
      <c r="B12" s="146"/>
      <c r="C12" s="146"/>
      <c r="D12" s="24">
        <f>SUM(D13:D14)</f>
        <v>451.8894041510085</v>
      </c>
      <c r="E12" s="24">
        <f>SUM(E13:E14)</f>
        <v>0.27347458493767157</v>
      </c>
      <c r="F12" s="2"/>
    </row>
    <row r="13" spans="1:10" ht="60">
      <c r="A13" s="15">
        <v>4</v>
      </c>
      <c r="B13" s="22" t="s">
        <v>86</v>
      </c>
      <c r="C13" s="22" t="s">
        <v>18</v>
      </c>
      <c r="D13" s="17">
        <f>E13*12*$D$2</f>
        <v>16.06336854662204</v>
      </c>
      <c r="E13" s="63">
        <v>0.009721234898706148</v>
      </c>
      <c r="F13" s="2"/>
      <c r="H13" s="85"/>
      <c r="I13" s="64"/>
      <c r="J13" s="65"/>
    </row>
    <row r="14" spans="1:10" ht="60">
      <c r="A14" s="15">
        <v>5</v>
      </c>
      <c r="B14" s="22" t="s">
        <v>22</v>
      </c>
      <c r="C14" s="22" t="s">
        <v>87</v>
      </c>
      <c r="D14" s="17">
        <f>E14*12*$D$2</f>
        <v>435.82603560438645</v>
      </c>
      <c r="E14" s="63">
        <v>0.26375335003896544</v>
      </c>
      <c r="F14" s="2"/>
      <c r="H14" s="85"/>
      <c r="I14" s="64"/>
      <c r="J14" s="65"/>
    </row>
    <row r="15" spans="1:6" ht="15">
      <c r="A15" s="145" t="s">
        <v>70</v>
      </c>
      <c r="B15" s="145"/>
      <c r="C15" s="145"/>
      <c r="D15" s="25">
        <f>SUM(D16)</f>
        <v>250.47530635905002</v>
      </c>
      <c r="E15" s="23">
        <f>SUM(E16)</f>
        <v>0.1515827320013617</v>
      </c>
      <c r="F15" s="2"/>
    </row>
    <row r="16" spans="1:9" ht="15">
      <c r="A16" s="15">
        <v>6</v>
      </c>
      <c r="B16" s="22" t="s">
        <v>25</v>
      </c>
      <c r="C16" s="22" t="s">
        <v>26</v>
      </c>
      <c r="D16" s="17">
        <f>E16*12*$D$2</f>
        <v>250.47530635905002</v>
      </c>
      <c r="E16" s="63">
        <v>0.1515827320013617</v>
      </c>
      <c r="F16" s="2"/>
      <c r="H16" s="85"/>
      <c r="I16" s="80"/>
    </row>
    <row r="17" spans="1:6" ht="15">
      <c r="A17" s="9"/>
      <c r="B17" s="27" t="s">
        <v>27</v>
      </c>
      <c r="C17" s="27"/>
      <c r="D17" s="48">
        <f>D7+D9+D12+D15</f>
        <v>1068.1466948784134</v>
      </c>
      <c r="E17" s="12">
        <f>E7+E9+E12+E15</f>
        <v>0.6464213839738644</v>
      </c>
      <c r="F17" s="6"/>
    </row>
    <row r="18" spans="1:6" ht="15">
      <c r="A18" s="29"/>
      <c r="B18" s="30"/>
      <c r="C18" s="31"/>
      <c r="D18" s="32"/>
      <c r="E18" s="33"/>
      <c r="F18" s="2"/>
    </row>
    <row r="19" spans="1:6" ht="15">
      <c r="A19" s="30"/>
      <c r="B19" s="30"/>
      <c r="C19" s="30"/>
      <c r="D19" s="30"/>
      <c r="E19" s="30"/>
      <c r="F19" s="29"/>
    </row>
    <row r="20" spans="1:6" ht="105">
      <c r="A20" s="11" t="s">
        <v>28</v>
      </c>
      <c r="B20" s="11" t="s">
        <v>29</v>
      </c>
      <c r="C20" s="11" t="s">
        <v>30</v>
      </c>
      <c r="D20" s="11" t="s">
        <v>31</v>
      </c>
      <c r="E20" s="11" t="s">
        <v>32</v>
      </c>
      <c r="F20" s="11" t="s">
        <v>33</v>
      </c>
    </row>
    <row r="21" spans="1:6" ht="15">
      <c r="A21" s="11">
        <v>1</v>
      </c>
      <c r="B21" s="8" t="s">
        <v>123</v>
      </c>
      <c r="C21" s="11" t="s">
        <v>51</v>
      </c>
      <c r="D21" s="11">
        <v>3598.9</v>
      </c>
      <c r="E21" s="37">
        <f>D21/12/$D$2</f>
        <v>2.1779835390946505</v>
      </c>
      <c r="F21" s="38">
        <v>2</v>
      </c>
    </row>
    <row r="22" spans="1:6" ht="15">
      <c r="A22" s="11"/>
      <c r="B22" s="39" t="s">
        <v>36</v>
      </c>
      <c r="C22" s="10"/>
      <c r="D22" s="54">
        <f>SUM(D21:D21)</f>
        <v>3598.9</v>
      </c>
      <c r="E22" s="40">
        <f>SUM(E21:E21)</f>
        <v>2.1779835390946505</v>
      </c>
      <c r="F22" s="41"/>
    </row>
    <row r="23" spans="1:6" ht="15">
      <c r="A23" s="29"/>
      <c r="B23" s="30"/>
      <c r="C23" s="42"/>
      <c r="D23" s="42"/>
      <c r="E23" s="42"/>
      <c r="F23" s="42"/>
    </row>
    <row r="24" spans="1:6" ht="29.25">
      <c r="A24" s="29"/>
      <c r="B24" s="30" t="s">
        <v>37</v>
      </c>
      <c r="C24" s="43">
        <f>D17+D22</f>
        <v>4667.046694878413</v>
      </c>
      <c r="D24" s="43"/>
      <c r="E24" s="43"/>
      <c r="F24" s="42"/>
    </row>
    <row r="25" spans="1:6" ht="15">
      <c r="A25" s="29"/>
      <c r="B25" s="30" t="s">
        <v>38</v>
      </c>
      <c r="C25" s="44">
        <f>E17+E22</f>
        <v>2.824404923068515</v>
      </c>
      <c r="D25" s="42"/>
      <c r="E25" s="42"/>
      <c r="F25" s="42"/>
    </row>
    <row r="26" spans="1:6" ht="15">
      <c r="A26" s="29"/>
      <c r="B26" s="30"/>
      <c r="C26" s="44"/>
      <c r="D26" s="42"/>
      <c r="E26" s="42"/>
      <c r="F26" s="42"/>
    </row>
    <row r="27" spans="1:6" ht="48.75" customHeight="1">
      <c r="A27" s="2"/>
      <c r="B27" s="2"/>
      <c r="C27" s="2"/>
      <c r="D27" s="2"/>
      <c r="E27" s="2"/>
      <c r="F27" s="2"/>
    </row>
    <row r="28" spans="1:6" ht="33" customHeight="1">
      <c r="A28" s="138" t="s">
        <v>39</v>
      </c>
      <c r="B28" s="138"/>
      <c r="C28" s="138"/>
      <c r="D28" s="138"/>
      <c r="E28" s="138"/>
      <c r="F28" s="138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4</v>
      </c>
      <c r="C30" s="9" t="s">
        <v>5</v>
      </c>
      <c r="D30" s="9" t="s">
        <v>6</v>
      </c>
      <c r="E30" s="9" t="s">
        <v>7</v>
      </c>
      <c r="F30" s="2"/>
    </row>
    <row r="31" spans="1:5" ht="32.25" customHeight="1">
      <c r="A31" s="139" t="s">
        <v>40</v>
      </c>
      <c r="B31" s="139"/>
      <c r="C31" s="139"/>
      <c r="D31" s="12">
        <f>D32</f>
        <v>16.523999999999997</v>
      </c>
      <c r="E31" s="12">
        <f>E32</f>
        <v>0.01</v>
      </c>
    </row>
    <row r="32" spans="1:5" ht="30">
      <c r="A32" s="15">
        <v>1</v>
      </c>
      <c r="B32" s="45" t="s">
        <v>41</v>
      </c>
      <c r="C32" s="45" t="s">
        <v>42</v>
      </c>
      <c r="D32" s="17">
        <f>E32*12*$D$2</f>
        <v>16.523999999999997</v>
      </c>
      <c r="E32" s="46">
        <v>0.01</v>
      </c>
    </row>
    <row r="33" spans="1:5" ht="32.25" customHeight="1">
      <c r="A33" s="139" t="s">
        <v>43</v>
      </c>
      <c r="B33" s="139"/>
      <c r="C33" s="139"/>
      <c r="D33" s="12">
        <f>D34+D35</f>
        <v>132.19199999999998</v>
      </c>
      <c r="E33" s="12">
        <f>E34+E35</f>
        <v>0.08</v>
      </c>
    </row>
    <row r="34" spans="1:5" ht="28.5" customHeight="1">
      <c r="A34" s="15">
        <v>2</v>
      </c>
      <c r="B34" s="45" t="s">
        <v>44</v>
      </c>
      <c r="C34" s="45" t="s">
        <v>45</v>
      </c>
      <c r="D34" s="17">
        <f>E34*$D$2*12</f>
        <v>33.048</v>
      </c>
      <c r="E34" s="46">
        <v>0.02</v>
      </c>
    </row>
    <row r="35" spans="1:5" ht="15">
      <c r="A35" s="15">
        <v>3</v>
      </c>
      <c r="B35" s="47" t="s">
        <v>46</v>
      </c>
      <c r="C35" s="8" t="s">
        <v>42</v>
      </c>
      <c r="D35" s="17">
        <f>E35*$D$2*12</f>
        <v>99.14399999999998</v>
      </c>
      <c r="E35" s="18">
        <v>0.06</v>
      </c>
    </row>
    <row r="36" spans="1:6" ht="15">
      <c r="A36" s="9"/>
      <c r="B36" s="27" t="s">
        <v>27</v>
      </c>
      <c r="C36" s="27"/>
      <c r="D36" s="48">
        <f>D31+D33</f>
        <v>148.71599999999998</v>
      </c>
      <c r="E36" s="12">
        <f>E31+E33</f>
        <v>0.09</v>
      </c>
      <c r="F36" s="6"/>
    </row>
    <row r="37" spans="1:6" ht="15">
      <c r="A37" s="2"/>
      <c r="B37" s="2"/>
      <c r="C37" s="2"/>
      <c r="D37" s="2"/>
      <c r="E37" s="2"/>
      <c r="F37" s="2"/>
    </row>
    <row r="38" spans="1:6" ht="15">
      <c r="A38" s="34"/>
      <c r="B38" s="34"/>
      <c r="C38" s="34"/>
      <c r="D38" s="34"/>
      <c r="E38" s="34"/>
      <c r="F38" s="35"/>
    </row>
    <row r="39" spans="1:6" ht="105">
      <c r="A39" s="11" t="s">
        <v>28</v>
      </c>
      <c r="B39" s="11" t="s">
        <v>29</v>
      </c>
      <c r="C39" s="11" t="s">
        <v>30</v>
      </c>
      <c r="D39" s="11" t="s">
        <v>31</v>
      </c>
      <c r="E39" s="11" t="s">
        <v>47</v>
      </c>
      <c r="F39" s="11" t="s">
        <v>33</v>
      </c>
    </row>
    <row r="40" spans="1:6" ht="15">
      <c r="A40" s="11">
        <v>1</v>
      </c>
      <c r="B40" s="8" t="s">
        <v>123</v>
      </c>
      <c r="C40" s="11" t="s">
        <v>187</v>
      </c>
      <c r="D40" s="36">
        <v>762</v>
      </c>
      <c r="E40" s="50">
        <f>D40/12/$D$2</f>
        <v>0.4611474219317357</v>
      </c>
      <c r="F40" s="38">
        <v>2</v>
      </c>
    </row>
    <row r="41" spans="1:6" ht="15">
      <c r="A41" s="51"/>
      <c r="B41" s="51" t="s">
        <v>36</v>
      </c>
      <c r="C41" s="51"/>
      <c r="D41" s="52">
        <f>SUM(D40:D40)</f>
        <v>762</v>
      </c>
      <c r="E41" s="53">
        <f>SUM(E40:E40)</f>
        <v>0.4611474219317357</v>
      </c>
      <c r="F41" s="51"/>
    </row>
    <row r="43" spans="2:4" ht="43.5">
      <c r="B43" s="30" t="s">
        <v>224</v>
      </c>
      <c r="D43" s="81">
        <v>4667.046694878413</v>
      </c>
    </row>
  </sheetData>
  <mergeCells count="8">
    <mergeCell ref="A31:C31"/>
    <mergeCell ref="A33:C33"/>
    <mergeCell ref="A4:E4"/>
    <mergeCell ref="A7:C7"/>
    <mergeCell ref="A9:C9"/>
    <mergeCell ref="A12:C12"/>
    <mergeCell ref="A15:C15"/>
    <mergeCell ref="A28:F28"/>
  </mergeCells>
  <printOptions horizontalCentered="1"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25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9.5" customHeight="1">
      <c r="B1" s="59" t="s">
        <v>225</v>
      </c>
    </row>
    <row r="2" spans="1:6" ht="19.5" customHeight="1">
      <c r="A2" s="2"/>
      <c r="B2" s="1" t="s">
        <v>226</v>
      </c>
      <c r="C2" s="4"/>
      <c r="D2" s="5">
        <v>56.6</v>
      </c>
      <c r="E2" s="6" t="s">
        <v>2</v>
      </c>
      <c r="F2" s="2"/>
    </row>
    <row r="3" spans="1:6" ht="9.75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8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888.1702093879337</v>
      </c>
      <c r="E7" s="12">
        <f>SUM(E8:E9)</f>
        <v>1.3076710974498436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812.5985447282102</v>
      </c>
      <c r="E8" s="60">
        <v>1.1964053956540197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75.57166465972357</v>
      </c>
      <c r="E9" s="60">
        <v>0.11126570179582386</v>
      </c>
      <c r="F9" s="21"/>
    </row>
    <row r="10" spans="1:6" ht="15.75" customHeight="1">
      <c r="A10" s="140" t="s">
        <v>64</v>
      </c>
      <c r="B10" s="143"/>
      <c r="C10" s="144"/>
      <c r="D10" s="23">
        <f>SUM(D11:D12)</f>
        <v>85.67563517824212</v>
      </c>
      <c r="E10" s="23">
        <f>SUM(E11:E12)</f>
        <v>0.1261419834779772</v>
      </c>
      <c r="F10" s="21"/>
    </row>
    <row r="11" spans="1:6" ht="31.5" customHeight="1">
      <c r="A11" s="15">
        <v>3</v>
      </c>
      <c r="B11" s="22" t="s">
        <v>17</v>
      </c>
      <c r="C11" s="22" t="s">
        <v>18</v>
      </c>
      <c r="D11" s="17">
        <f>E11*12*$D$2</f>
        <v>47.19022995124922</v>
      </c>
      <c r="E11" s="60">
        <v>0.06947913714848236</v>
      </c>
      <c r="F11" s="13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38.485405226992896</v>
      </c>
      <c r="E12" s="60">
        <v>0.05666284632949484</v>
      </c>
      <c r="F12" s="2"/>
    </row>
    <row r="13" spans="1:9" ht="15">
      <c r="A13" s="145" t="s">
        <v>67</v>
      </c>
      <c r="B13" s="146"/>
      <c r="C13" s="146"/>
      <c r="D13" s="24">
        <f>SUM(D14:D15)</f>
        <v>251.44491358977788</v>
      </c>
      <c r="E13" s="24">
        <f>SUM(E14:E15)</f>
        <v>0.37020746994961407</v>
      </c>
      <c r="F13" s="2"/>
      <c r="H13" s="64"/>
      <c r="I13" s="65"/>
    </row>
    <row r="14" spans="1:10" ht="60">
      <c r="A14" s="15">
        <v>5</v>
      </c>
      <c r="B14" s="22" t="s">
        <v>86</v>
      </c>
      <c r="C14" s="22" t="s">
        <v>18</v>
      </c>
      <c r="D14" s="17">
        <f>E14*12*$D$2</f>
        <v>13.17696315459757</v>
      </c>
      <c r="E14" s="63">
        <v>0.0194007113583592</v>
      </c>
      <c r="F14" s="2"/>
      <c r="H14" s="64"/>
      <c r="I14" s="64"/>
      <c r="J14" s="65"/>
    </row>
    <row r="15" spans="1:10" ht="75">
      <c r="A15" s="15">
        <v>6</v>
      </c>
      <c r="B15" s="22" t="s">
        <v>22</v>
      </c>
      <c r="C15" s="22" t="s">
        <v>23</v>
      </c>
      <c r="D15" s="17">
        <f>E15*12*$D$2</f>
        <v>238.26795043518032</v>
      </c>
      <c r="E15" s="63">
        <v>0.3508067585912549</v>
      </c>
      <c r="F15" s="2"/>
      <c r="H15" s="64"/>
      <c r="I15" s="64"/>
      <c r="J15" s="65"/>
    </row>
    <row r="16" spans="1:6" ht="15">
      <c r="A16" s="145" t="s">
        <v>70</v>
      </c>
      <c r="B16" s="145"/>
      <c r="C16" s="145"/>
      <c r="D16" s="25">
        <f>SUM(D17)</f>
        <v>172.30951325358637</v>
      </c>
      <c r="E16" s="23">
        <f>SUM(E17)</f>
        <v>0.253694807499391</v>
      </c>
      <c r="F16" s="2"/>
    </row>
    <row r="17" spans="1:9" ht="15">
      <c r="A17" s="15">
        <v>7</v>
      </c>
      <c r="B17" s="22" t="s">
        <v>25</v>
      </c>
      <c r="C17" s="22" t="s">
        <v>26</v>
      </c>
      <c r="D17" s="17">
        <f>E17*12*$D$2</f>
        <v>172.30951325358637</v>
      </c>
      <c r="E17" s="63">
        <f>0.262694807499391-0.009</f>
        <v>0.253694807499391</v>
      </c>
      <c r="F17" s="2"/>
      <c r="H17" s="64"/>
      <c r="I17" s="80"/>
    </row>
    <row r="18" spans="1:6" ht="15">
      <c r="A18" s="9"/>
      <c r="B18" s="27" t="s">
        <v>27</v>
      </c>
      <c r="C18" s="27"/>
      <c r="D18" s="74">
        <f>D7+D10+D13+D16</f>
        <v>1397.60027140954</v>
      </c>
      <c r="E18" s="12">
        <f>E7+E10+E13+E16</f>
        <v>2.057715358376826</v>
      </c>
      <c r="F18" s="6"/>
    </row>
    <row r="19" spans="1:6" ht="15">
      <c r="A19" s="29"/>
      <c r="B19" s="30"/>
      <c r="C19" s="31"/>
      <c r="D19" s="32"/>
      <c r="E19" s="33"/>
      <c r="F19" s="2"/>
    </row>
    <row r="20" spans="1:6" ht="105">
      <c r="A20" s="11" t="s">
        <v>28</v>
      </c>
      <c r="B20" s="11" t="s">
        <v>29</v>
      </c>
      <c r="C20" s="11" t="s">
        <v>30</v>
      </c>
      <c r="D20" s="11" t="s">
        <v>31</v>
      </c>
      <c r="E20" s="11" t="s">
        <v>32</v>
      </c>
      <c r="F20" s="11" t="s">
        <v>33</v>
      </c>
    </row>
    <row r="21" spans="1:6" ht="15">
      <c r="A21" s="11">
        <v>1</v>
      </c>
      <c r="B21" s="8" t="s">
        <v>123</v>
      </c>
      <c r="C21" s="11" t="s">
        <v>124</v>
      </c>
      <c r="D21" s="11">
        <v>1479</v>
      </c>
      <c r="E21" s="37">
        <f>D21/12/$D$2</f>
        <v>2.1775618374558303</v>
      </c>
      <c r="F21" s="38">
        <v>2</v>
      </c>
    </row>
    <row r="22" spans="1:6" ht="15">
      <c r="A22" s="11"/>
      <c r="B22" s="39" t="s">
        <v>36</v>
      </c>
      <c r="C22" s="10"/>
      <c r="D22" s="54">
        <f>SUM(D21:D21)</f>
        <v>1479</v>
      </c>
      <c r="E22" s="40">
        <f>SUM(E21:E21)</f>
        <v>2.1775618374558303</v>
      </c>
      <c r="F22" s="41"/>
    </row>
    <row r="23" spans="1:6" ht="15">
      <c r="A23" s="42"/>
      <c r="B23" s="66"/>
      <c r="C23" s="67"/>
      <c r="D23" s="106"/>
      <c r="E23" s="69"/>
      <c r="F23" s="70"/>
    </row>
    <row r="24" spans="1:6" ht="29.25">
      <c r="A24" s="29"/>
      <c r="B24" s="30" t="s">
        <v>37</v>
      </c>
      <c r="C24" s="43">
        <f>D18+D22</f>
        <v>2876.6002714095403</v>
      </c>
      <c r="D24" s="43"/>
      <c r="E24" s="43"/>
      <c r="F24" s="42"/>
    </row>
    <row r="25" spans="1:6" ht="15">
      <c r="A25" s="29"/>
      <c r="B25" s="30" t="s">
        <v>38</v>
      </c>
      <c r="C25" s="44">
        <f>E18+E22</f>
        <v>4.235277195832657</v>
      </c>
      <c r="D25" s="42"/>
      <c r="E25" s="42"/>
      <c r="F25" s="42"/>
    </row>
    <row r="26" spans="1:6" ht="64.5" customHeight="1">
      <c r="A26" s="29"/>
      <c r="B26" s="30"/>
      <c r="C26" s="44"/>
      <c r="D26" s="42"/>
      <c r="E26" s="42"/>
      <c r="F26" s="42"/>
    </row>
    <row r="27" spans="1:6" ht="33" customHeight="1">
      <c r="A27" s="138" t="s">
        <v>39</v>
      </c>
      <c r="B27" s="138"/>
      <c r="C27" s="138"/>
      <c r="D27" s="138"/>
      <c r="E27" s="138"/>
      <c r="F27" s="138"/>
    </row>
    <row r="28" spans="1:6" ht="15">
      <c r="A28" s="1"/>
      <c r="B28" s="1"/>
      <c r="C28" s="1"/>
      <c r="D28" s="2"/>
      <c r="E28" s="2"/>
      <c r="F28" s="2"/>
    </row>
    <row r="29" spans="1:6" ht="71.25">
      <c r="A29" s="8"/>
      <c r="B29" s="9" t="s">
        <v>4</v>
      </c>
      <c r="C29" s="9" t="s">
        <v>5</v>
      </c>
      <c r="D29" s="9" t="s">
        <v>6</v>
      </c>
      <c r="E29" s="9" t="s">
        <v>7</v>
      </c>
      <c r="F29" s="2"/>
    </row>
    <row r="30" spans="1:5" ht="30.75" customHeight="1">
      <c r="A30" s="139" t="s">
        <v>40</v>
      </c>
      <c r="B30" s="139"/>
      <c r="C30" s="139"/>
      <c r="D30" s="12">
        <f>D31</f>
        <v>6.792</v>
      </c>
      <c r="E30" s="12">
        <f>E31</f>
        <v>0.01</v>
      </c>
    </row>
    <row r="31" spans="1:5" ht="30">
      <c r="A31" s="15">
        <v>1</v>
      </c>
      <c r="B31" s="45" t="s">
        <v>41</v>
      </c>
      <c r="C31" s="45" t="s">
        <v>42</v>
      </c>
      <c r="D31" s="17">
        <f>E31*12*$D$2</f>
        <v>6.792</v>
      </c>
      <c r="E31" s="46">
        <v>0.01</v>
      </c>
    </row>
    <row r="32" spans="1:5" ht="32.25" customHeight="1">
      <c r="A32" s="139" t="s">
        <v>43</v>
      </c>
      <c r="B32" s="139"/>
      <c r="C32" s="139"/>
      <c r="D32" s="12">
        <f>D33</f>
        <v>40.751999999999995</v>
      </c>
      <c r="E32" s="12">
        <f>E33</f>
        <v>0.06</v>
      </c>
    </row>
    <row r="33" spans="1:5" ht="15">
      <c r="A33" s="15">
        <v>2</v>
      </c>
      <c r="B33" s="47" t="s">
        <v>46</v>
      </c>
      <c r="C33" s="8" t="s">
        <v>42</v>
      </c>
      <c r="D33" s="17">
        <f>E33*$D$2*12</f>
        <v>40.751999999999995</v>
      </c>
      <c r="E33" s="18">
        <v>0.06</v>
      </c>
    </row>
    <row r="34" spans="1:6" ht="15">
      <c r="A34" s="9"/>
      <c r="B34" s="27" t="s">
        <v>27</v>
      </c>
      <c r="C34" s="27"/>
      <c r="D34" s="48">
        <f>D30+D32</f>
        <v>47.544</v>
      </c>
      <c r="E34" s="12">
        <f>E30+E32</f>
        <v>0.06999999999999999</v>
      </c>
      <c r="F34" s="6"/>
    </row>
    <row r="35" spans="1:6" ht="15">
      <c r="A35" s="2"/>
      <c r="B35" s="2"/>
      <c r="C35" s="2"/>
      <c r="D35" s="2"/>
      <c r="E35" s="2"/>
      <c r="F35" s="2"/>
    </row>
    <row r="36" spans="2:4" ht="43.5">
      <c r="B36" s="30" t="s">
        <v>227</v>
      </c>
      <c r="D36" s="81">
        <v>2876.6002714095403</v>
      </c>
    </row>
  </sheetData>
  <mergeCells count="8">
    <mergeCell ref="A4:E4"/>
    <mergeCell ref="A7:C7"/>
    <mergeCell ref="A10:C10"/>
    <mergeCell ref="A13:C13"/>
    <mergeCell ref="A16:C16"/>
    <mergeCell ref="A27:F27"/>
    <mergeCell ref="A30:C30"/>
    <mergeCell ref="A32:C32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358</v>
      </c>
    </row>
    <row r="2" spans="1:6" ht="39" customHeight="1">
      <c r="A2" s="2"/>
      <c r="B2" s="1" t="s">
        <v>359</v>
      </c>
      <c r="C2" s="4"/>
      <c r="D2" s="5">
        <v>61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76</v>
      </c>
      <c r="B7" s="143"/>
      <c r="C7" s="144"/>
      <c r="D7" s="23">
        <f>SUM(D8:D9)</f>
        <v>147.86040512020722</v>
      </c>
      <c r="E7" s="23">
        <f>SUM(E8:E9)</f>
        <v>0.20199508896203172</v>
      </c>
      <c r="F7" s="21"/>
      <c r="G7" s="108"/>
    </row>
    <row r="8" spans="1:7" ht="18.75" customHeight="1">
      <c r="A8" s="15">
        <v>1</v>
      </c>
      <c r="B8" s="22" t="s">
        <v>17</v>
      </c>
      <c r="C8" s="22" t="s">
        <v>18</v>
      </c>
      <c r="D8" s="17">
        <f>E8*12*$D$2</f>
        <v>42.90020904659021</v>
      </c>
      <c r="E8" s="18">
        <v>0.0586068429598227</v>
      </c>
      <c r="F8" s="13"/>
      <c r="G8" s="116"/>
    </row>
    <row r="9" spans="1:6" ht="60">
      <c r="A9" s="15">
        <v>2</v>
      </c>
      <c r="B9" s="22" t="s">
        <v>311</v>
      </c>
      <c r="C9" s="22" t="s">
        <v>18</v>
      </c>
      <c r="D9" s="17">
        <f>E9*12*$D$2</f>
        <v>104.960196073617</v>
      </c>
      <c r="E9" s="17">
        <v>0.143388246002209</v>
      </c>
      <c r="F9" s="2"/>
    </row>
    <row r="10" spans="1:6" ht="15">
      <c r="A10" s="145" t="s">
        <v>77</v>
      </c>
      <c r="B10" s="146"/>
      <c r="C10" s="146"/>
      <c r="D10" s="24">
        <f>SUM(D11:D12)</f>
        <v>525.3865816039096</v>
      </c>
      <c r="E10" s="24">
        <f>SUM(E11:E12)</f>
        <v>0.7177412316993301</v>
      </c>
      <c r="F10" s="2"/>
    </row>
    <row r="11" spans="1:6" ht="60">
      <c r="A11" s="15">
        <v>3</v>
      </c>
      <c r="B11" s="22" t="s">
        <v>86</v>
      </c>
      <c r="C11" s="22" t="s">
        <v>18</v>
      </c>
      <c r="D11" s="17">
        <f>E11*12*$D$2</f>
        <v>22.475077020632174</v>
      </c>
      <c r="E11" s="17">
        <f>0.0215082369003313+0.00919542023167987</f>
        <v>0.030703657132011168</v>
      </c>
      <c r="F11" s="2"/>
    </row>
    <row r="12" spans="1:6" ht="60">
      <c r="A12" s="15">
        <v>4</v>
      </c>
      <c r="B12" s="22" t="s">
        <v>22</v>
      </c>
      <c r="C12" s="22" t="s">
        <v>122</v>
      </c>
      <c r="D12" s="17">
        <f>E12*12*$D$2</f>
        <v>502.9115045832774</v>
      </c>
      <c r="E12" s="20">
        <f>0.574514459967319+0.1125231146</f>
        <v>0.687037574567319</v>
      </c>
      <c r="F12" s="2"/>
    </row>
    <row r="13" spans="1:6" ht="15">
      <c r="A13" s="145" t="s">
        <v>80</v>
      </c>
      <c r="B13" s="145"/>
      <c r="C13" s="145"/>
      <c r="D13" s="25">
        <f>SUM(D14)</f>
        <v>556.7869929602975</v>
      </c>
      <c r="E13" s="25">
        <f>SUM(E14)</f>
        <v>0.7606379685249967</v>
      </c>
      <c r="F13" s="2"/>
    </row>
    <row r="14" spans="1:6" ht="15">
      <c r="A14" s="15">
        <v>5</v>
      </c>
      <c r="B14" s="22" t="s">
        <v>25</v>
      </c>
      <c r="C14" s="22" t="s">
        <v>26</v>
      </c>
      <c r="D14" s="17">
        <f>E14*12*$D$2</f>
        <v>556.7869929602975</v>
      </c>
      <c r="E14" s="20">
        <f>0.00982157508237362+0.599016393442623+0.1518</f>
        <v>0.7606379685249967</v>
      </c>
      <c r="F14" s="2"/>
    </row>
    <row r="15" spans="1:6" ht="15">
      <c r="A15" s="9"/>
      <c r="B15" s="27" t="s">
        <v>27</v>
      </c>
      <c r="C15" s="27"/>
      <c r="D15" s="48">
        <f>+D7+D10+D13</f>
        <v>1230.0339796844144</v>
      </c>
      <c r="E15" s="12">
        <f>+E7+E10+E13</f>
        <v>1.6803742891863584</v>
      </c>
      <c r="F15" s="6"/>
    </row>
    <row r="16" spans="1:6" ht="15">
      <c r="A16" s="29"/>
      <c r="B16" s="30"/>
      <c r="C16" s="31"/>
      <c r="D16" s="32"/>
      <c r="E16" s="33"/>
      <c r="F16" s="2"/>
    </row>
    <row r="17" spans="1:6" ht="15">
      <c r="A17" s="34"/>
      <c r="B17" s="34"/>
      <c r="C17" s="34"/>
      <c r="D17" s="34"/>
      <c r="E17" s="34"/>
      <c r="F17" s="35"/>
    </row>
    <row r="18" spans="1:6" ht="105">
      <c r="A18" s="11" t="s">
        <v>28</v>
      </c>
      <c r="B18" s="11" t="s">
        <v>29</v>
      </c>
      <c r="C18" s="11" t="s">
        <v>30</v>
      </c>
      <c r="D18" s="11" t="s">
        <v>31</v>
      </c>
      <c r="E18" s="11" t="s">
        <v>32</v>
      </c>
      <c r="F18" s="11" t="s">
        <v>33</v>
      </c>
    </row>
    <row r="19" spans="1:6" ht="15">
      <c r="A19" s="11">
        <v>1</v>
      </c>
      <c r="B19" s="8" t="s">
        <v>123</v>
      </c>
      <c r="C19" s="11" t="s">
        <v>124</v>
      </c>
      <c r="D19" s="104">
        <v>1594.8</v>
      </c>
      <c r="E19" s="37">
        <f>D19/12/$D$2</f>
        <v>2.178688524590164</v>
      </c>
      <c r="F19" s="38">
        <v>2</v>
      </c>
    </row>
    <row r="20" spans="1:6" ht="15">
      <c r="A20" s="11"/>
      <c r="B20" s="39" t="s">
        <v>36</v>
      </c>
      <c r="C20" s="10"/>
      <c r="D20" s="54">
        <f>SUM(D19:D19)</f>
        <v>1594.8</v>
      </c>
      <c r="E20" s="40">
        <f>SUM(E19:E19)</f>
        <v>2.178688524590164</v>
      </c>
      <c r="F20" s="41"/>
    </row>
    <row r="21" spans="1:6" ht="15">
      <c r="A21" s="29"/>
      <c r="B21" s="30"/>
      <c r="C21" s="42"/>
      <c r="D21" s="42"/>
      <c r="E21" s="42"/>
      <c r="F21" s="42"/>
    </row>
    <row r="22" spans="1:6" ht="15">
      <c r="A22" s="29"/>
      <c r="B22" s="30"/>
      <c r="C22" s="42"/>
      <c r="D22" s="42"/>
      <c r="E22" s="42"/>
      <c r="F22" s="42"/>
    </row>
    <row r="23" spans="1:6" ht="29.25">
      <c r="A23" s="29"/>
      <c r="B23" s="30" t="s">
        <v>37</v>
      </c>
      <c r="C23" s="43">
        <f>D15+D20</f>
        <v>2824.8339796844143</v>
      </c>
      <c r="D23" s="43"/>
      <c r="E23" s="43"/>
      <c r="F23" s="42"/>
    </row>
    <row r="24" spans="1:6" ht="15">
      <c r="A24" s="29"/>
      <c r="B24" s="30" t="s">
        <v>38</v>
      </c>
      <c r="C24" s="44">
        <f>E15+E20</f>
        <v>3.8590628137765224</v>
      </c>
      <c r="D24" s="42"/>
      <c r="E24" s="42"/>
      <c r="F24" s="42"/>
    </row>
    <row r="25" spans="1:6" ht="15">
      <c r="A25" s="29"/>
      <c r="B25" s="30"/>
      <c r="C25" s="44"/>
      <c r="D25" s="42"/>
      <c r="E25" s="42"/>
      <c r="F25" s="42"/>
    </row>
    <row r="26" spans="1:6" ht="80.25" customHeight="1">
      <c r="A26" s="2"/>
      <c r="B26" s="2"/>
      <c r="C26" s="2"/>
      <c r="D26" s="2"/>
      <c r="E26" s="2"/>
      <c r="F26" s="2"/>
    </row>
    <row r="27" spans="1:6" ht="33" customHeight="1">
      <c r="A27" s="138" t="s">
        <v>39</v>
      </c>
      <c r="B27" s="138"/>
      <c r="C27" s="138"/>
      <c r="D27" s="138"/>
      <c r="E27" s="138"/>
      <c r="F27" s="138"/>
    </row>
    <row r="28" spans="1:6" ht="15">
      <c r="A28" s="1"/>
      <c r="B28" s="1"/>
      <c r="C28" s="1"/>
      <c r="D28" s="2"/>
      <c r="E28" s="2"/>
      <c r="F28" s="2"/>
    </row>
    <row r="29" spans="1:6" ht="71.25">
      <c r="A29" s="8"/>
      <c r="B29" s="9" t="s">
        <v>4</v>
      </c>
      <c r="C29" s="9" t="s">
        <v>5</v>
      </c>
      <c r="D29" s="9" t="s">
        <v>6</v>
      </c>
      <c r="E29" s="9" t="s">
        <v>7</v>
      </c>
      <c r="F29" s="2"/>
    </row>
    <row r="30" spans="1:5" ht="32.25" customHeight="1">
      <c r="A30" s="139" t="s">
        <v>312</v>
      </c>
      <c r="B30" s="139"/>
      <c r="C30" s="139"/>
      <c r="D30" s="12">
        <f>D31+D32</f>
        <v>58.559999999999995</v>
      </c>
      <c r="E30" s="12">
        <f>E31+E32</f>
        <v>0.08</v>
      </c>
    </row>
    <row r="31" spans="1:5" ht="43.5" customHeight="1">
      <c r="A31" s="15">
        <v>1</v>
      </c>
      <c r="B31" s="45" t="s">
        <v>44</v>
      </c>
      <c r="C31" s="45" t="s">
        <v>45</v>
      </c>
      <c r="D31" s="17">
        <f>E31*$D$2*12</f>
        <v>14.64</v>
      </c>
      <c r="E31" s="46">
        <v>0.02</v>
      </c>
    </row>
    <row r="32" spans="1:5" ht="15">
      <c r="A32" s="15">
        <v>2</v>
      </c>
      <c r="B32" s="47" t="s">
        <v>46</v>
      </c>
      <c r="C32" s="8" t="s">
        <v>42</v>
      </c>
      <c r="D32" s="17">
        <f>E32*$D$2*12</f>
        <v>43.919999999999995</v>
      </c>
      <c r="E32" s="18">
        <v>0.06</v>
      </c>
    </row>
    <row r="33" spans="1:6" ht="15">
      <c r="A33" s="9"/>
      <c r="B33" s="27" t="s">
        <v>27</v>
      </c>
      <c r="C33" s="27"/>
      <c r="D33" s="48">
        <f>+D30</f>
        <v>58.559999999999995</v>
      </c>
      <c r="E33" s="12">
        <f>+E30</f>
        <v>0.08</v>
      </c>
      <c r="F33" s="6"/>
    </row>
    <row r="34" spans="1:6" ht="15">
      <c r="A34" s="2"/>
      <c r="B34" s="2"/>
      <c r="C34" s="2"/>
      <c r="D34" s="2"/>
      <c r="E34" s="2"/>
      <c r="F34" s="2"/>
    </row>
    <row r="35" spans="1:6" ht="15">
      <c r="A35" s="34"/>
      <c r="B35" s="34"/>
      <c r="C35" s="34"/>
      <c r="D35" s="34"/>
      <c r="E35" s="34"/>
      <c r="F35" s="35"/>
    </row>
    <row r="36" spans="1:6" ht="105">
      <c r="A36" s="11" t="s">
        <v>28</v>
      </c>
      <c r="B36" s="11" t="s">
        <v>29</v>
      </c>
      <c r="C36" s="11" t="s">
        <v>30</v>
      </c>
      <c r="D36" s="11" t="s">
        <v>31</v>
      </c>
      <c r="E36" s="11" t="s">
        <v>47</v>
      </c>
      <c r="F36" s="11" t="s">
        <v>33</v>
      </c>
    </row>
    <row r="37" spans="1:6" ht="15">
      <c r="A37" s="11">
        <v>1</v>
      </c>
      <c r="B37" s="8" t="s">
        <v>123</v>
      </c>
      <c r="C37" s="11" t="s">
        <v>48</v>
      </c>
      <c r="D37" s="36">
        <v>1062.86</v>
      </c>
      <c r="E37" s="50">
        <f>D37/12/$D$2</f>
        <v>1.4519945355191255</v>
      </c>
      <c r="F37" s="38">
        <v>2</v>
      </c>
    </row>
    <row r="38" spans="1:6" ht="15">
      <c r="A38" s="51"/>
      <c r="B38" s="51" t="s">
        <v>36</v>
      </c>
      <c r="C38" s="51"/>
      <c r="D38" s="52">
        <f>SUM(D37:D37)</f>
        <v>1062.86</v>
      </c>
      <c r="E38" s="53">
        <f>SUM(E37:E37)</f>
        <v>1.4519945355191255</v>
      </c>
      <c r="F38" s="51"/>
    </row>
    <row r="40" spans="2:3" ht="29.25">
      <c r="B40" s="30" t="s">
        <v>360</v>
      </c>
      <c r="C40" s="43">
        <v>2825</v>
      </c>
    </row>
  </sheetData>
  <sheetProtection/>
  <mergeCells count="6">
    <mergeCell ref="A4:E4"/>
    <mergeCell ref="A27:F27"/>
    <mergeCell ref="A30:C30"/>
    <mergeCell ref="A7:C7"/>
    <mergeCell ref="A10:C10"/>
    <mergeCell ref="A13:C13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0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361</v>
      </c>
    </row>
    <row r="2" spans="1:6" ht="39" customHeight="1">
      <c r="A2" s="2"/>
      <c r="B2" s="1" t="s">
        <v>362</v>
      </c>
      <c r="C2" s="4"/>
      <c r="D2" s="5">
        <v>51.2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296.0567364626447</v>
      </c>
      <c r="E7" s="12">
        <f>SUM(E8:E9)</f>
        <v>0.4818631778363358</v>
      </c>
      <c r="F7" s="19"/>
      <c r="G7" s="108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270.8661815760702</v>
      </c>
      <c r="E8" s="20">
        <v>0.44086292574230174</v>
      </c>
      <c r="F8" s="21"/>
      <c r="G8" s="108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25.19055488657455</v>
      </c>
      <c r="E9" s="17">
        <v>0.041000252094034094</v>
      </c>
      <c r="F9" s="21"/>
      <c r="G9" s="108"/>
    </row>
    <row r="10" spans="1:7" ht="15">
      <c r="A10" s="140" t="s">
        <v>64</v>
      </c>
      <c r="B10" s="143"/>
      <c r="C10" s="144"/>
      <c r="D10" s="23">
        <f>SUM(D11:D12)</f>
        <v>85.67563517824213</v>
      </c>
      <c r="E10" s="23">
        <f>SUM(E11:E12)</f>
        <v>0.13944602079792012</v>
      </c>
      <c r="F10" s="21"/>
      <c r="G10" s="108"/>
    </row>
    <row r="11" spans="1:7" ht="18.75" customHeight="1">
      <c r="A11" s="15">
        <v>3</v>
      </c>
      <c r="B11" s="22" t="s">
        <v>17</v>
      </c>
      <c r="C11" s="22" t="s">
        <v>18</v>
      </c>
      <c r="D11" s="17">
        <f>E11*12*$D$2</f>
        <v>47.19022995124921</v>
      </c>
      <c r="E11" s="17">
        <v>0.07680701489461134</v>
      </c>
      <c r="F11" s="13"/>
      <c r="G11" s="116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38.485405226992924</v>
      </c>
      <c r="E12" s="17">
        <v>0.06263900590330879</v>
      </c>
      <c r="F12" s="2"/>
    </row>
    <row r="13" spans="1:6" ht="15">
      <c r="A13" s="145" t="s">
        <v>67</v>
      </c>
      <c r="B13" s="146"/>
      <c r="C13" s="146"/>
      <c r="D13" s="24">
        <f>SUM(D14:D15)</f>
        <v>243.42426598108983</v>
      </c>
      <c r="E13" s="24">
        <f>SUM(E14:E15)</f>
        <v>0.39619834957859673</v>
      </c>
      <c r="F13" s="2"/>
    </row>
    <row r="14" spans="1:6" ht="60">
      <c r="A14" s="15">
        <v>5</v>
      </c>
      <c r="B14" s="22" t="s">
        <v>86</v>
      </c>
      <c r="C14" s="22" t="s">
        <v>18</v>
      </c>
      <c r="D14" s="17">
        <f>E14*12*$D$2</f>
        <v>13.176963154597539</v>
      </c>
      <c r="E14" s="17">
        <v>0.0214468801344361</v>
      </c>
      <c r="F14" s="2"/>
    </row>
    <row r="15" spans="1:6" ht="60">
      <c r="A15" s="15">
        <v>6</v>
      </c>
      <c r="B15" s="22" t="s">
        <v>22</v>
      </c>
      <c r="C15" s="22" t="s">
        <v>87</v>
      </c>
      <c r="D15" s="17">
        <f>E15*12*$D$2</f>
        <v>230.2473028264923</v>
      </c>
      <c r="E15" s="17">
        <v>0.37475146944416066</v>
      </c>
      <c r="F15" s="2"/>
    </row>
    <row r="16" spans="1:6" ht="15">
      <c r="A16" s="145" t="s">
        <v>70</v>
      </c>
      <c r="B16" s="145"/>
      <c r="C16" s="145"/>
      <c r="D16" s="25">
        <f>SUM(D17)</f>
        <v>166.01978189546986</v>
      </c>
      <c r="E16" s="25">
        <f>SUM(E17)</f>
        <v>0.270214488762158</v>
      </c>
      <c r="F16" s="2"/>
    </row>
    <row r="17" spans="1:6" ht="15">
      <c r="A17" s="15">
        <v>7</v>
      </c>
      <c r="B17" s="22" t="s">
        <v>25</v>
      </c>
      <c r="C17" s="22" t="s">
        <v>26</v>
      </c>
      <c r="D17" s="17">
        <f>E17*12*$D$2</f>
        <v>166.01978189546986</v>
      </c>
      <c r="E17" s="26">
        <f>0.275214488762158-0.005</f>
        <v>0.270214488762158</v>
      </c>
      <c r="F17" s="2"/>
    </row>
    <row r="18" spans="1:6" ht="15">
      <c r="A18" s="9"/>
      <c r="B18" s="27" t="s">
        <v>27</v>
      </c>
      <c r="C18" s="27"/>
      <c r="D18" s="48">
        <f>D7+D10+D13+D16</f>
        <v>791.1764195174464</v>
      </c>
      <c r="E18" s="12">
        <f>E7+E10+E13+E16</f>
        <v>1.2877220369750106</v>
      </c>
      <c r="F18" s="6"/>
    </row>
    <row r="19" spans="1:6" ht="15">
      <c r="A19" s="29"/>
      <c r="B19" s="30"/>
      <c r="C19" s="31"/>
      <c r="D19" s="128"/>
      <c r="E19" s="64"/>
      <c r="F19" s="2"/>
    </row>
    <row r="20" spans="1:6" ht="15">
      <c r="A20" s="34"/>
      <c r="B20" s="34"/>
      <c r="C20" s="34"/>
      <c r="D20" s="34"/>
      <c r="E20" s="34"/>
      <c r="F20" s="35"/>
    </row>
    <row r="21" spans="1:6" ht="105">
      <c r="A21" s="11" t="s">
        <v>28</v>
      </c>
      <c r="B21" s="11" t="s">
        <v>29</v>
      </c>
      <c r="C21" s="11" t="s">
        <v>30</v>
      </c>
      <c r="D21" s="11" t="s">
        <v>31</v>
      </c>
      <c r="E21" s="11" t="s">
        <v>32</v>
      </c>
      <c r="F21" s="11" t="s">
        <v>33</v>
      </c>
    </row>
    <row r="22" spans="1:6" ht="15">
      <c r="A22" s="11">
        <v>1</v>
      </c>
      <c r="B22" s="8" t="s">
        <v>320</v>
      </c>
      <c r="C22" s="11" t="s">
        <v>363</v>
      </c>
      <c r="D22" s="11">
        <v>1338</v>
      </c>
      <c r="E22" s="37">
        <f>D22/12/D2</f>
        <v>2.177734375</v>
      </c>
      <c r="F22" s="38">
        <v>2</v>
      </c>
    </row>
    <row r="23" spans="1:6" ht="15">
      <c r="A23" s="11"/>
      <c r="B23" s="39" t="s">
        <v>36</v>
      </c>
      <c r="C23" s="10"/>
      <c r="D23" s="54">
        <f>SUM(D22:D22)</f>
        <v>1338</v>
      </c>
      <c r="E23" s="40">
        <f>SUM(E22:E22)</f>
        <v>2.177734375</v>
      </c>
      <c r="F23" s="41"/>
    </row>
    <row r="24" spans="1:6" ht="15">
      <c r="A24" s="29"/>
      <c r="B24" s="30"/>
      <c r="C24" s="42"/>
      <c r="D24" s="42"/>
      <c r="E24" s="42"/>
      <c r="F24" s="42"/>
    </row>
    <row r="25" spans="1:6" ht="29.25">
      <c r="A25" s="29"/>
      <c r="B25" s="30" t="s">
        <v>37</v>
      </c>
      <c r="C25" s="43">
        <f>D18+D23</f>
        <v>2129.1764195174464</v>
      </c>
      <c r="D25" s="43"/>
      <c r="E25" s="43"/>
      <c r="F25" s="42"/>
    </row>
    <row r="26" spans="1:6" ht="15">
      <c r="A26" s="29"/>
      <c r="B26" s="30" t="s">
        <v>38</v>
      </c>
      <c r="C26" s="44">
        <f>E18+E23</f>
        <v>3.4654564119750106</v>
      </c>
      <c r="D26" s="42"/>
      <c r="E26" s="42"/>
      <c r="F26" s="42"/>
    </row>
    <row r="27" spans="1:6" ht="15">
      <c r="A27" s="29"/>
      <c r="B27" s="30"/>
      <c r="C27" s="44"/>
      <c r="D27" s="42"/>
      <c r="E27" s="42"/>
      <c r="F27" s="42"/>
    </row>
    <row r="28" spans="1:6" ht="49.5" customHeight="1">
      <c r="A28" s="2"/>
      <c r="B28" s="2"/>
      <c r="C28" s="2"/>
      <c r="D28" s="2"/>
      <c r="E28" s="2"/>
      <c r="F28" s="2"/>
    </row>
    <row r="29" spans="1:6" ht="33" customHeight="1">
      <c r="A29" s="138" t="s">
        <v>39</v>
      </c>
      <c r="B29" s="138"/>
      <c r="C29" s="138"/>
      <c r="D29" s="138"/>
      <c r="E29" s="138"/>
      <c r="F29" s="13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4</v>
      </c>
      <c r="C31" s="9" t="s">
        <v>5</v>
      </c>
      <c r="D31" s="9" t="s">
        <v>6</v>
      </c>
      <c r="E31" s="9" t="s">
        <v>7</v>
      </c>
      <c r="F31" s="2"/>
    </row>
    <row r="32" spans="1:5" ht="15">
      <c r="A32" s="139" t="s">
        <v>40</v>
      </c>
      <c r="B32" s="139"/>
      <c r="C32" s="139"/>
      <c r="D32" s="12">
        <f>D33</f>
        <v>6.144</v>
      </c>
      <c r="E32" s="12">
        <f>E33</f>
        <v>0.01</v>
      </c>
    </row>
    <row r="33" spans="1:5" ht="30">
      <c r="A33" s="15">
        <v>1</v>
      </c>
      <c r="B33" s="45" t="s">
        <v>41</v>
      </c>
      <c r="C33" s="45" t="s">
        <v>213</v>
      </c>
      <c r="D33" s="17">
        <f>E33*12*$D$2</f>
        <v>6.144</v>
      </c>
      <c r="E33" s="46">
        <v>0.01</v>
      </c>
    </row>
    <row r="34" spans="1:5" ht="32.25" customHeight="1">
      <c r="A34" s="139" t="s">
        <v>43</v>
      </c>
      <c r="B34" s="139"/>
      <c r="C34" s="139"/>
      <c r="D34" s="12">
        <f>D35+D36</f>
        <v>49.152</v>
      </c>
      <c r="E34" s="12">
        <f>E35+E36</f>
        <v>0.08</v>
      </c>
    </row>
    <row r="35" spans="1:5" ht="45" customHeight="1">
      <c r="A35" s="15">
        <v>2</v>
      </c>
      <c r="B35" s="45" t="s">
        <v>44</v>
      </c>
      <c r="C35" s="45" t="s">
        <v>45</v>
      </c>
      <c r="D35" s="17">
        <f>E35*$D$2*12</f>
        <v>12.288</v>
      </c>
      <c r="E35" s="46">
        <v>0.02</v>
      </c>
    </row>
    <row r="36" spans="1:5" ht="15">
      <c r="A36" s="15">
        <v>3</v>
      </c>
      <c r="B36" s="47" t="s">
        <v>46</v>
      </c>
      <c r="C36" s="8" t="s">
        <v>213</v>
      </c>
      <c r="D36" s="17">
        <f>E36*$D$2*12</f>
        <v>36.864000000000004</v>
      </c>
      <c r="E36" s="18">
        <v>0.06</v>
      </c>
    </row>
    <row r="37" spans="1:6" ht="15">
      <c r="A37" s="9"/>
      <c r="B37" s="27" t="s">
        <v>27</v>
      </c>
      <c r="C37" s="27"/>
      <c r="D37" s="48">
        <f>D32+D34</f>
        <v>55.296</v>
      </c>
      <c r="E37" s="12">
        <f>E32+E34</f>
        <v>0.09</v>
      </c>
      <c r="F37" s="6"/>
    </row>
    <row r="38" spans="1:6" ht="15">
      <c r="A38" s="2"/>
      <c r="B38" s="2"/>
      <c r="C38" s="2"/>
      <c r="D38" s="2"/>
      <c r="E38" s="2"/>
      <c r="F38" s="2"/>
    </row>
    <row r="40" spans="2:3" ht="29.25">
      <c r="B40" s="30" t="s">
        <v>364</v>
      </c>
      <c r="C40" s="43">
        <v>2129.1764195174464</v>
      </c>
    </row>
  </sheetData>
  <sheetProtection/>
  <mergeCells count="8">
    <mergeCell ref="A29:F29"/>
    <mergeCell ref="A32:C32"/>
    <mergeCell ref="A34:C34"/>
    <mergeCell ref="A4:E4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365</v>
      </c>
    </row>
    <row r="2" spans="1:6" ht="39" customHeight="1">
      <c r="A2" s="2"/>
      <c r="B2" s="1" t="s">
        <v>366</v>
      </c>
      <c r="C2" s="4"/>
      <c r="D2" s="5">
        <v>48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148.0283682313223</v>
      </c>
      <c r="E7" s="12">
        <f>SUM(E8:E9)</f>
        <v>0.2569936948460457</v>
      </c>
      <c r="F7" s="19"/>
      <c r="G7" s="108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135.43309078803506</v>
      </c>
      <c r="E8" s="20">
        <v>0.23512689372922752</v>
      </c>
      <c r="F8" s="21"/>
      <c r="G8" s="108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12.595277443287245</v>
      </c>
      <c r="E9" s="17">
        <v>0.021866801116818133</v>
      </c>
      <c r="F9" s="21"/>
      <c r="G9" s="108"/>
    </row>
    <row r="10" spans="1:7" ht="15">
      <c r="A10" s="140" t="s">
        <v>64</v>
      </c>
      <c r="B10" s="143"/>
      <c r="C10" s="144"/>
      <c r="D10" s="23">
        <f>SUM(D11:D12)</f>
        <v>85.67563517824209</v>
      </c>
      <c r="E10" s="23">
        <f>SUM(E11:E12)</f>
        <v>0.14874242218444805</v>
      </c>
      <c r="F10" s="21"/>
      <c r="G10" s="108"/>
    </row>
    <row r="11" spans="1:7" ht="18.75" customHeight="1">
      <c r="A11" s="15">
        <v>3</v>
      </c>
      <c r="B11" s="22" t="s">
        <v>17</v>
      </c>
      <c r="C11" s="22" t="s">
        <v>18</v>
      </c>
      <c r="D11" s="17">
        <f>E11*12*$D$2</f>
        <v>47.19022995124919</v>
      </c>
      <c r="E11" s="17">
        <v>0.08192748255425206</v>
      </c>
      <c r="F11" s="13"/>
      <c r="G11" s="116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38.485405226992896</v>
      </c>
      <c r="E12" s="17">
        <v>0.06681493963019601</v>
      </c>
      <c r="F12" s="2"/>
    </row>
    <row r="13" spans="1:6" ht="15">
      <c r="A13" s="145" t="s">
        <v>67</v>
      </c>
      <c r="B13" s="146"/>
      <c r="C13" s="146"/>
      <c r="D13" s="24">
        <f>SUM(D14:D15)</f>
        <v>238.671289620386</v>
      </c>
      <c r="E13" s="24">
        <f>SUM(E14:E15)</f>
        <v>0.4143598778131702</v>
      </c>
      <c r="F13" s="2"/>
    </row>
    <row r="14" spans="1:6" ht="60">
      <c r="A14" s="15">
        <v>5</v>
      </c>
      <c r="B14" s="22" t="s">
        <v>86</v>
      </c>
      <c r="C14" s="22" t="s">
        <v>18</v>
      </c>
      <c r="D14" s="17">
        <f>E14*12*$D$2</f>
        <v>13.176963154597564</v>
      </c>
      <c r="E14" s="17">
        <v>0.022876672143398547</v>
      </c>
      <c r="F14" s="2"/>
    </row>
    <row r="15" spans="1:6" ht="60">
      <c r="A15" s="15">
        <v>6</v>
      </c>
      <c r="B15" s="22" t="s">
        <v>22</v>
      </c>
      <c r="C15" s="22" t="s">
        <v>87</v>
      </c>
      <c r="D15" s="17">
        <f>E15*12*$D$2</f>
        <v>225.49432646578845</v>
      </c>
      <c r="E15" s="17">
        <v>0.39148320566977163</v>
      </c>
      <c r="F15" s="2"/>
    </row>
    <row r="16" spans="1:6" ht="15">
      <c r="A16" s="145" t="s">
        <v>70</v>
      </c>
      <c r="B16" s="145"/>
      <c r="C16" s="145"/>
      <c r="D16" s="25">
        <f>SUM(D17)</f>
        <v>166.7164276573492</v>
      </c>
      <c r="E16" s="25">
        <f>SUM(E17)</f>
        <v>0.2894382424606757</v>
      </c>
      <c r="F16" s="2"/>
    </row>
    <row r="17" spans="1:6" ht="15">
      <c r="A17" s="15">
        <v>7</v>
      </c>
      <c r="B17" s="22" t="s">
        <v>25</v>
      </c>
      <c r="C17" s="22" t="s">
        <v>26</v>
      </c>
      <c r="D17" s="17">
        <f>E17*12*$D$2</f>
        <v>166.7164276573492</v>
      </c>
      <c r="E17" s="26">
        <v>0.2894382424606757</v>
      </c>
      <c r="F17" s="2"/>
    </row>
    <row r="18" spans="1:6" ht="15">
      <c r="A18" s="9"/>
      <c r="B18" s="27" t="s">
        <v>27</v>
      </c>
      <c r="C18" s="27"/>
      <c r="D18" s="48">
        <f>D7+D10+D13+D16</f>
        <v>639.0917206872996</v>
      </c>
      <c r="E18" s="12">
        <f>E7+E10+E13+E16</f>
        <v>1.1095342373043395</v>
      </c>
      <c r="F18" s="6"/>
    </row>
    <row r="19" spans="1:6" ht="15">
      <c r="A19" s="29"/>
      <c r="B19" s="30"/>
      <c r="C19" s="31"/>
      <c r="D19" s="128"/>
      <c r="E19" s="64"/>
      <c r="F19" s="2"/>
    </row>
    <row r="20" spans="1:6" ht="15">
      <c r="A20" s="34"/>
      <c r="B20" s="34"/>
      <c r="C20" s="34"/>
      <c r="D20" s="34"/>
      <c r="E20" s="34"/>
      <c r="F20" s="35"/>
    </row>
    <row r="21" spans="1:6" ht="105">
      <c r="A21" s="11" t="s">
        <v>28</v>
      </c>
      <c r="B21" s="11" t="s">
        <v>29</v>
      </c>
      <c r="C21" s="11" t="s">
        <v>30</v>
      </c>
      <c r="D21" s="11" t="s">
        <v>31</v>
      </c>
      <c r="E21" s="11" t="s">
        <v>32</v>
      </c>
      <c r="F21" s="11" t="s">
        <v>33</v>
      </c>
    </row>
    <row r="22" spans="1:6" ht="15">
      <c r="A22" s="11">
        <v>1</v>
      </c>
      <c r="B22" s="8" t="s">
        <v>320</v>
      </c>
      <c r="C22" s="11" t="s">
        <v>124</v>
      </c>
      <c r="D22" s="11">
        <v>1255.1</v>
      </c>
      <c r="E22" s="37">
        <f>D22/12/D2</f>
        <v>2.1789930555555554</v>
      </c>
      <c r="F22" s="38">
        <v>2</v>
      </c>
    </row>
    <row r="23" spans="1:6" ht="15">
      <c r="A23" s="11"/>
      <c r="B23" s="39" t="s">
        <v>36</v>
      </c>
      <c r="C23" s="10"/>
      <c r="D23" s="54">
        <f>SUM(D22:D22)</f>
        <v>1255.1</v>
      </c>
      <c r="E23" s="40">
        <f>SUM(E22:E22)</f>
        <v>2.1789930555555554</v>
      </c>
      <c r="F23" s="41"/>
    </row>
    <row r="24" spans="1:6" ht="15">
      <c r="A24" s="29"/>
      <c r="B24" s="30"/>
      <c r="C24" s="42"/>
      <c r="D24" s="42"/>
      <c r="E24" s="42"/>
      <c r="F24" s="42"/>
    </row>
    <row r="25" spans="1:6" ht="29.25">
      <c r="A25" s="29"/>
      <c r="B25" s="30" t="s">
        <v>37</v>
      </c>
      <c r="C25" s="43">
        <f>D18+D23</f>
        <v>1894.1917206872995</v>
      </c>
      <c r="D25" s="43"/>
      <c r="E25" s="43"/>
      <c r="F25" s="42"/>
    </row>
    <row r="26" spans="1:6" ht="15">
      <c r="A26" s="29"/>
      <c r="B26" s="30" t="s">
        <v>38</v>
      </c>
      <c r="C26" s="44">
        <f>E18+E23</f>
        <v>3.2885272928598948</v>
      </c>
      <c r="D26" s="42"/>
      <c r="E26" s="42"/>
      <c r="F26" s="42"/>
    </row>
    <row r="27" spans="1:6" ht="15">
      <c r="A27" s="29"/>
      <c r="B27" s="30"/>
      <c r="C27" s="44"/>
      <c r="D27" s="42"/>
      <c r="E27" s="42"/>
      <c r="F27" s="42"/>
    </row>
    <row r="28" spans="1:6" ht="40.5" customHeight="1">
      <c r="A28" s="2"/>
      <c r="B28" s="2"/>
      <c r="C28" s="2"/>
      <c r="D28" s="2"/>
      <c r="E28" s="2"/>
      <c r="F28" s="2"/>
    </row>
    <row r="29" spans="1:6" ht="33" customHeight="1">
      <c r="A29" s="138" t="s">
        <v>39</v>
      </c>
      <c r="B29" s="138"/>
      <c r="C29" s="138"/>
      <c r="D29" s="138"/>
      <c r="E29" s="138"/>
      <c r="F29" s="13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4</v>
      </c>
      <c r="C31" s="9" t="s">
        <v>5</v>
      </c>
      <c r="D31" s="9" t="s">
        <v>6</v>
      </c>
      <c r="E31" s="9" t="s">
        <v>7</v>
      </c>
      <c r="F31" s="2"/>
    </row>
    <row r="32" spans="1:5" ht="15">
      <c r="A32" s="139" t="s">
        <v>40</v>
      </c>
      <c r="B32" s="139"/>
      <c r="C32" s="139"/>
      <c r="D32" s="12">
        <f>D33</f>
        <v>5.76</v>
      </c>
      <c r="E32" s="12">
        <f>E33</f>
        <v>0.01</v>
      </c>
    </row>
    <row r="33" spans="1:5" ht="30">
      <c r="A33" s="15">
        <v>1</v>
      </c>
      <c r="B33" s="45" t="s">
        <v>41</v>
      </c>
      <c r="C33" s="45" t="s">
        <v>42</v>
      </c>
      <c r="D33" s="17">
        <f>E33*12*$D$2</f>
        <v>5.76</v>
      </c>
      <c r="E33" s="46">
        <v>0.01</v>
      </c>
    </row>
    <row r="34" spans="1:5" ht="32.25" customHeight="1">
      <c r="A34" s="139" t="s">
        <v>43</v>
      </c>
      <c r="B34" s="139"/>
      <c r="C34" s="139"/>
      <c r="D34" s="12">
        <f>D35+D36</f>
        <v>46.08</v>
      </c>
      <c r="E34" s="12">
        <f>E35+E36</f>
        <v>0.08</v>
      </c>
    </row>
    <row r="35" spans="1:5" ht="48" customHeight="1">
      <c r="A35" s="15">
        <v>2</v>
      </c>
      <c r="B35" s="45" t="s">
        <v>44</v>
      </c>
      <c r="C35" s="45" t="s">
        <v>45</v>
      </c>
      <c r="D35" s="17">
        <f>E35*$D$2*12</f>
        <v>11.52</v>
      </c>
      <c r="E35" s="46">
        <v>0.02</v>
      </c>
    </row>
    <row r="36" spans="1:5" ht="15">
      <c r="A36" s="15">
        <v>3</v>
      </c>
      <c r="B36" s="47" t="s">
        <v>46</v>
      </c>
      <c r="C36" s="8" t="s">
        <v>213</v>
      </c>
      <c r="D36" s="17">
        <f>E36*$D$2*12</f>
        <v>34.56</v>
      </c>
      <c r="E36" s="18">
        <v>0.06</v>
      </c>
    </row>
    <row r="37" spans="1:6" ht="15">
      <c r="A37" s="9"/>
      <c r="B37" s="27" t="s">
        <v>27</v>
      </c>
      <c r="C37" s="27"/>
      <c r="D37" s="48">
        <f>D32+D34</f>
        <v>51.839999999999996</v>
      </c>
      <c r="E37" s="12">
        <f>E32+E34</f>
        <v>0.09</v>
      </c>
      <c r="F37" s="6"/>
    </row>
    <row r="38" spans="1:6" ht="15">
      <c r="A38" s="2"/>
      <c r="B38" s="2"/>
      <c r="C38" s="2"/>
      <c r="D38" s="2"/>
      <c r="E38" s="2"/>
      <c r="F38" s="2"/>
    </row>
    <row r="39" spans="2:3" ht="29.25">
      <c r="B39" s="30" t="s">
        <v>367</v>
      </c>
      <c r="C39" s="43">
        <v>1894.1917206872995</v>
      </c>
    </row>
  </sheetData>
  <sheetProtection/>
  <mergeCells count="8">
    <mergeCell ref="A29:F29"/>
    <mergeCell ref="A32:C32"/>
    <mergeCell ref="A34:C34"/>
    <mergeCell ref="A4:E4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31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368</v>
      </c>
    </row>
    <row r="2" spans="1:6" ht="39" customHeight="1">
      <c r="A2" s="2"/>
      <c r="B2" s="1" t="s">
        <v>369</v>
      </c>
      <c r="C2" s="4"/>
      <c r="D2" s="5">
        <v>387.8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888.1702093879322</v>
      </c>
      <c r="E7" s="12">
        <f>SUM(E8:E9)</f>
        <v>0.19085658616725382</v>
      </c>
      <c r="F7" s="19"/>
      <c r="G7" s="14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812.5985447282089</v>
      </c>
      <c r="E8" s="20">
        <v>0.1746171877102048</v>
      </c>
      <c r="F8" s="21"/>
      <c r="G8" s="14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75.57166465972333</v>
      </c>
      <c r="E9" s="17">
        <v>0.016239398457049022</v>
      </c>
      <c r="F9" s="21"/>
      <c r="G9" s="14"/>
    </row>
    <row r="10" spans="1:7" ht="15">
      <c r="A10" s="140" t="s">
        <v>64</v>
      </c>
      <c r="B10" s="143"/>
      <c r="C10" s="144"/>
      <c r="D10" s="23">
        <f>SUM(D11:D13)</f>
        <v>3707.845448204144</v>
      </c>
      <c r="E10" s="23">
        <f>SUM(E11:E13)</f>
        <v>0.7967692642694137</v>
      </c>
      <c r="F10" s="21"/>
      <c r="G10" s="14"/>
    </row>
    <row r="11" spans="1:7" ht="18.75" customHeight="1">
      <c r="A11" s="15">
        <v>3</v>
      </c>
      <c r="B11" s="22" t="s">
        <v>17</v>
      </c>
      <c r="C11" s="22" t="s">
        <v>18</v>
      </c>
      <c r="D11" s="17">
        <f>E11*12*$D$2</f>
        <v>94.38045990249832</v>
      </c>
      <c r="E11" s="17">
        <v>0.02028117154514748</v>
      </c>
      <c r="F11" s="13"/>
      <c r="G11" s="14"/>
    </row>
    <row r="12" spans="1:7" ht="18.75" customHeight="1">
      <c r="A12" s="15">
        <v>4</v>
      </c>
      <c r="B12" s="22" t="s">
        <v>105</v>
      </c>
      <c r="C12" s="22" t="s">
        <v>18</v>
      </c>
      <c r="D12" s="17">
        <f>E12*12*$D$2</f>
        <v>284.53611502796207</v>
      </c>
      <c r="E12" s="17">
        <v>0.061143225680755135</v>
      </c>
      <c r="F12" s="13"/>
      <c r="G12" s="14"/>
    </row>
    <row r="13" spans="1:7" ht="90">
      <c r="A13" s="15">
        <v>5</v>
      </c>
      <c r="B13" s="22" t="s">
        <v>106</v>
      </c>
      <c r="C13" s="22" t="s">
        <v>18</v>
      </c>
      <c r="D13" s="17">
        <f>E13*12*$D$2</f>
        <v>3328.9288732736836</v>
      </c>
      <c r="E13" s="17">
        <v>0.7153448670435112</v>
      </c>
      <c r="F13" s="2"/>
      <c r="G13" s="14"/>
    </row>
    <row r="14" spans="1:7" ht="15">
      <c r="A14" s="145" t="s">
        <v>67</v>
      </c>
      <c r="B14" s="146"/>
      <c r="C14" s="146"/>
      <c r="D14" s="24">
        <f>SUM(D15:D16)</f>
        <v>5861.818028007797</v>
      </c>
      <c r="E14" s="24">
        <f>SUM(E15:E16)</f>
        <v>1.2596308294670358</v>
      </c>
      <c r="F14" s="2"/>
      <c r="G14" s="14"/>
    </row>
    <row r="15" spans="1:7" ht="60">
      <c r="A15" s="15">
        <v>6</v>
      </c>
      <c r="B15" s="22" t="s">
        <v>21</v>
      </c>
      <c r="C15" s="22" t="s">
        <v>18</v>
      </c>
      <c r="D15" s="17">
        <f>E15*12*$D$2</f>
        <v>355.8690926437441</v>
      </c>
      <c r="E15" s="17">
        <v>0.07647178370374422</v>
      </c>
      <c r="F15" s="2"/>
      <c r="G15" s="14"/>
    </row>
    <row r="16" spans="1:7" ht="75">
      <c r="A16" s="15">
        <v>7</v>
      </c>
      <c r="B16" s="22" t="s">
        <v>22</v>
      </c>
      <c r="C16" s="22" t="s">
        <v>23</v>
      </c>
      <c r="D16" s="17">
        <f>E16*12*$D$2</f>
        <v>5505.948935364053</v>
      </c>
      <c r="E16" s="17">
        <v>1.1831590457632915</v>
      </c>
      <c r="F16" s="2"/>
      <c r="G16" s="14"/>
    </row>
    <row r="17" spans="1:7" ht="15">
      <c r="A17" s="145" t="s">
        <v>70</v>
      </c>
      <c r="B17" s="145"/>
      <c r="C17" s="145"/>
      <c r="D17" s="25">
        <f>SUM(D18)</f>
        <v>467.15364897494834</v>
      </c>
      <c r="E17" s="25">
        <f>SUM(E18)</f>
        <v>0.1003854325629509</v>
      </c>
      <c r="F17" s="2"/>
      <c r="G17" s="14"/>
    </row>
    <row r="18" spans="1:7" ht="15">
      <c r="A18" s="15">
        <v>8</v>
      </c>
      <c r="B18" s="22" t="s">
        <v>25</v>
      </c>
      <c r="C18" s="22" t="s">
        <v>26</v>
      </c>
      <c r="D18" s="17">
        <f>E18*12*$D$2</f>
        <v>467.15364897494834</v>
      </c>
      <c r="E18" s="26">
        <f>0.0933154325629509+0.00707</f>
        <v>0.1003854325629509</v>
      </c>
      <c r="F18" s="2"/>
      <c r="G18" s="14"/>
    </row>
    <row r="19" spans="1:7" ht="15">
      <c r="A19" s="9"/>
      <c r="B19" s="27" t="s">
        <v>27</v>
      </c>
      <c r="C19" s="27"/>
      <c r="D19" s="48">
        <f>D7+D10+D14+D17</f>
        <v>10924.987334574822</v>
      </c>
      <c r="E19" s="12">
        <f>E7+E10+E14+E17</f>
        <v>2.347642112466654</v>
      </c>
      <c r="F19" s="6"/>
      <c r="G19" s="14"/>
    </row>
    <row r="20" spans="1:6" ht="15">
      <c r="A20" s="29"/>
      <c r="B20" s="30"/>
      <c r="C20" s="31"/>
      <c r="D20" s="128"/>
      <c r="E20" s="64"/>
      <c r="F20" s="2"/>
    </row>
    <row r="21" spans="1:6" ht="29.25">
      <c r="A21" s="29"/>
      <c r="B21" s="30" t="s">
        <v>37</v>
      </c>
      <c r="C21" s="43">
        <f>D19</f>
        <v>10924.987334574822</v>
      </c>
      <c r="D21" s="43"/>
      <c r="E21" s="43"/>
      <c r="F21" s="42"/>
    </row>
    <row r="22" spans="1:6" ht="15">
      <c r="A22" s="29"/>
      <c r="B22" s="30" t="s">
        <v>38</v>
      </c>
      <c r="C22" s="44">
        <f>E19</f>
        <v>2.347642112466654</v>
      </c>
      <c r="D22" s="42"/>
      <c r="E22" s="42"/>
      <c r="F22" s="42"/>
    </row>
    <row r="23" spans="1:6" ht="15">
      <c r="A23" s="29"/>
      <c r="B23" s="30"/>
      <c r="C23" s="44"/>
      <c r="D23" s="42"/>
      <c r="E23" s="42"/>
      <c r="F23" s="42"/>
    </row>
    <row r="24" spans="1:6" ht="105">
      <c r="A24" s="11" t="s">
        <v>28</v>
      </c>
      <c r="B24" s="11" t="s">
        <v>29</v>
      </c>
      <c r="C24" s="11" t="s">
        <v>30</v>
      </c>
      <c r="D24" s="11" t="s">
        <v>31</v>
      </c>
      <c r="E24" s="11" t="s">
        <v>32</v>
      </c>
      <c r="F24" s="11" t="s">
        <v>33</v>
      </c>
    </row>
    <row r="25" spans="1:6" ht="15">
      <c r="A25" s="11">
        <v>1</v>
      </c>
      <c r="B25" s="124" t="s">
        <v>370</v>
      </c>
      <c r="C25" s="11" t="s">
        <v>371</v>
      </c>
      <c r="D25" s="11">
        <v>3080</v>
      </c>
      <c r="E25" s="131">
        <f aca="true" t="shared" si="0" ref="E25:E30">D25/12/$D$2</f>
        <v>0.6618531889290012</v>
      </c>
      <c r="F25" s="11">
        <v>2</v>
      </c>
    </row>
    <row r="26" spans="1:6" ht="15">
      <c r="A26" s="11">
        <v>2</v>
      </c>
      <c r="B26" s="124" t="s">
        <v>372</v>
      </c>
      <c r="C26" s="11" t="s">
        <v>373</v>
      </c>
      <c r="D26" s="11">
        <v>2640</v>
      </c>
      <c r="E26" s="131">
        <f t="shared" si="0"/>
        <v>0.5673027333677153</v>
      </c>
      <c r="F26" s="11">
        <v>2</v>
      </c>
    </row>
    <row r="27" spans="1:6" ht="15">
      <c r="A27" s="11">
        <v>3</v>
      </c>
      <c r="B27" s="124" t="s">
        <v>140</v>
      </c>
      <c r="C27" s="11" t="s">
        <v>374</v>
      </c>
      <c r="D27" s="11">
        <v>1232</v>
      </c>
      <c r="E27" s="131">
        <f t="shared" si="0"/>
        <v>0.2647412755716005</v>
      </c>
      <c r="F27" s="11">
        <v>2</v>
      </c>
    </row>
    <row r="28" spans="1:6" ht="15">
      <c r="A28" s="11">
        <v>4</v>
      </c>
      <c r="B28" s="124" t="s">
        <v>302</v>
      </c>
      <c r="C28" s="11" t="s">
        <v>375</v>
      </c>
      <c r="D28" s="11">
        <v>1650</v>
      </c>
      <c r="E28" s="131">
        <f t="shared" si="0"/>
        <v>0.35456420835482205</v>
      </c>
      <c r="F28" s="11">
        <v>2</v>
      </c>
    </row>
    <row r="29" spans="1:6" ht="15">
      <c r="A29" s="11">
        <v>5</v>
      </c>
      <c r="B29" s="124" t="s">
        <v>376</v>
      </c>
      <c r="C29" s="11" t="s">
        <v>377</v>
      </c>
      <c r="D29" s="11">
        <v>880</v>
      </c>
      <c r="E29" s="131">
        <f t="shared" si="0"/>
        <v>0.18910091112257174</v>
      </c>
      <c r="F29" s="11">
        <v>2</v>
      </c>
    </row>
    <row r="30" spans="1:6" ht="15">
      <c r="A30" s="11">
        <v>6</v>
      </c>
      <c r="B30" s="124" t="s">
        <v>378</v>
      </c>
      <c r="C30" s="11" t="s">
        <v>379</v>
      </c>
      <c r="D30" s="11">
        <v>330</v>
      </c>
      <c r="E30" s="131">
        <f t="shared" si="0"/>
        <v>0.07091284167096441</v>
      </c>
      <c r="F30" s="38">
        <v>2</v>
      </c>
    </row>
    <row r="31" spans="1:6" ht="15">
      <c r="A31" s="11"/>
      <c r="B31" s="39" t="s">
        <v>36</v>
      </c>
      <c r="C31" s="10"/>
      <c r="D31" s="54">
        <f>SUM(D25:D30)</f>
        <v>9812</v>
      </c>
      <c r="E31" s="40">
        <f>SUM(E25:E30)</f>
        <v>2.1084751590166753</v>
      </c>
      <c r="F31" s="41"/>
    </row>
    <row r="32" spans="1:6" ht="15">
      <c r="A32" s="29"/>
      <c r="B32" s="30"/>
      <c r="C32" s="44"/>
      <c r="D32" s="42"/>
      <c r="E32" s="42"/>
      <c r="F32" s="42"/>
    </row>
    <row r="33" spans="1:6" ht="29.25">
      <c r="A33" s="29"/>
      <c r="B33" s="30" t="s">
        <v>37</v>
      </c>
      <c r="C33" s="129">
        <f>D19+D31</f>
        <v>20736.98733457482</v>
      </c>
      <c r="D33" s="42"/>
      <c r="E33" s="42"/>
      <c r="F33" s="42"/>
    </row>
    <row r="34" spans="1:6" ht="15">
      <c r="A34" s="29"/>
      <c r="B34" s="30" t="s">
        <v>38</v>
      </c>
      <c r="C34" s="44">
        <f>E19+E31</f>
        <v>4.456117271483329</v>
      </c>
      <c r="D34" s="42"/>
      <c r="E34" s="42"/>
      <c r="F34" s="42"/>
    </row>
    <row r="35" spans="1:6" ht="15">
      <c r="A35" s="2"/>
      <c r="B35" s="2"/>
      <c r="C35" s="2"/>
      <c r="D35" s="2"/>
      <c r="E35" s="2"/>
      <c r="F35" s="2"/>
    </row>
    <row r="36" spans="1:6" ht="33" customHeight="1">
      <c r="A36" s="138" t="s">
        <v>39</v>
      </c>
      <c r="B36" s="138"/>
      <c r="C36" s="138"/>
      <c r="D36" s="138"/>
      <c r="E36" s="138"/>
      <c r="F36" s="138"/>
    </row>
    <row r="37" spans="1:6" ht="15">
      <c r="A37" s="1"/>
      <c r="B37" s="1"/>
      <c r="C37" s="1"/>
      <c r="D37" s="2"/>
      <c r="E37" s="2"/>
      <c r="F37" s="2"/>
    </row>
    <row r="38" spans="1:6" ht="71.25">
      <c r="A38" s="8"/>
      <c r="B38" s="9" t="s">
        <v>4</v>
      </c>
      <c r="C38" s="9" t="s">
        <v>5</v>
      </c>
      <c r="D38" s="9" t="s">
        <v>6</v>
      </c>
      <c r="E38" s="9" t="s">
        <v>7</v>
      </c>
      <c r="F38" s="2"/>
    </row>
    <row r="39" spans="1:5" ht="15">
      <c r="A39" s="139" t="s">
        <v>40</v>
      </c>
      <c r="B39" s="139"/>
      <c r="C39" s="139"/>
      <c r="D39" s="12">
        <f>D40</f>
        <v>46.536</v>
      </c>
      <c r="E39" s="12">
        <f>E40</f>
        <v>0.01</v>
      </c>
    </row>
    <row r="40" spans="1:5" ht="30">
      <c r="A40" s="15">
        <v>1</v>
      </c>
      <c r="B40" s="45" t="s">
        <v>41</v>
      </c>
      <c r="C40" s="45" t="s">
        <v>42</v>
      </c>
      <c r="D40" s="17">
        <f>E40*12*$D$2</f>
        <v>46.536</v>
      </c>
      <c r="E40" s="46">
        <v>0.01</v>
      </c>
    </row>
    <row r="41" spans="1:5" ht="32.25" customHeight="1">
      <c r="A41" s="139" t="s">
        <v>43</v>
      </c>
      <c r="B41" s="139"/>
      <c r="C41" s="139"/>
      <c r="D41" s="12">
        <f>D42+D43</f>
        <v>372.288</v>
      </c>
      <c r="E41" s="12">
        <f>E42+E43</f>
        <v>0.08</v>
      </c>
    </row>
    <row r="42" spans="1:5" ht="45.75" customHeight="1">
      <c r="A42" s="15">
        <v>2</v>
      </c>
      <c r="B42" s="45" t="s">
        <v>44</v>
      </c>
      <c r="C42" s="45" t="s">
        <v>45</v>
      </c>
      <c r="D42" s="17">
        <f>E42*$D$2*12</f>
        <v>93.072</v>
      </c>
      <c r="E42" s="46">
        <v>0.02</v>
      </c>
    </row>
    <row r="43" spans="1:5" ht="15">
      <c r="A43" s="15">
        <v>3</v>
      </c>
      <c r="B43" s="47" t="s">
        <v>46</v>
      </c>
      <c r="C43" s="8" t="s">
        <v>213</v>
      </c>
      <c r="D43" s="17">
        <f>E43*$D$2*12</f>
        <v>279.216</v>
      </c>
      <c r="E43" s="18">
        <v>0.06</v>
      </c>
    </row>
    <row r="44" spans="1:6" ht="15">
      <c r="A44" s="9"/>
      <c r="B44" s="27" t="s">
        <v>27</v>
      </c>
      <c r="C44" s="27"/>
      <c r="D44" s="48">
        <f>D39+D41</f>
        <v>418.824</v>
      </c>
      <c r="E44" s="12">
        <f>E39+E41</f>
        <v>0.09</v>
      </c>
      <c r="F44" s="6"/>
    </row>
    <row r="45" spans="1:6" ht="15">
      <c r="A45" s="2"/>
      <c r="B45" s="2"/>
      <c r="C45" s="2"/>
      <c r="D45" s="2"/>
      <c r="E45" s="2"/>
      <c r="F45" s="2"/>
    </row>
    <row r="46" spans="2:3" ht="29.25">
      <c r="B46" s="30" t="s">
        <v>380</v>
      </c>
      <c r="C46" s="43">
        <f>C33</f>
        <v>20736.98733457482</v>
      </c>
    </row>
  </sheetData>
  <sheetProtection/>
  <mergeCells count="8">
    <mergeCell ref="A36:F36"/>
    <mergeCell ref="A39:C39"/>
    <mergeCell ref="A41:C41"/>
    <mergeCell ref="A4:E4"/>
    <mergeCell ref="A7:C7"/>
    <mergeCell ref="A10:C10"/>
    <mergeCell ref="A14:C14"/>
    <mergeCell ref="A17:C17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31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381</v>
      </c>
    </row>
    <row r="2" spans="1:6" ht="39" customHeight="1">
      <c r="A2" s="2"/>
      <c r="B2" s="1" t="s">
        <v>382</v>
      </c>
      <c r="C2" s="4"/>
      <c r="D2" s="5">
        <v>156.25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1036.198577619257</v>
      </c>
      <c r="E7" s="12">
        <f>SUM(E8:E9)</f>
        <v>0.5526392413969372</v>
      </c>
      <c r="F7" s="19"/>
      <c r="G7" s="14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948.0316355162463</v>
      </c>
      <c r="E8" s="20">
        <v>0.5056168722753314</v>
      </c>
      <c r="F8" s="21"/>
      <c r="G8" s="14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88.16694210301087</v>
      </c>
      <c r="E9" s="17">
        <v>0.047022369121605796</v>
      </c>
      <c r="F9" s="21"/>
      <c r="G9" s="14"/>
    </row>
    <row r="10" spans="1:7" ht="15">
      <c r="A10" s="140" t="s">
        <v>64</v>
      </c>
      <c r="B10" s="143"/>
      <c r="C10" s="144"/>
      <c r="D10" s="23">
        <f>SUM(D11:D12)</f>
        <v>143.4037430187314</v>
      </c>
      <c r="E10" s="23">
        <f>SUM(E11:E12)</f>
        <v>0.07648199627665675</v>
      </c>
      <c r="F10" s="21"/>
      <c r="G10" s="14"/>
    </row>
    <row r="11" spans="1:7" ht="18.75" customHeight="1">
      <c r="A11" s="15">
        <v>3</v>
      </c>
      <c r="B11" s="22" t="s">
        <v>17</v>
      </c>
      <c r="C11" s="22" t="s">
        <v>18</v>
      </c>
      <c r="D11" s="17">
        <f>E11*12*$D$2</f>
        <v>47.19022995124928</v>
      </c>
      <c r="E11" s="17">
        <v>0.02516812264066628</v>
      </c>
      <c r="F11" s="13"/>
      <c r="G11" s="14"/>
    </row>
    <row r="12" spans="1:7" ht="60">
      <c r="A12" s="15">
        <v>4</v>
      </c>
      <c r="B12" s="22" t="s">
        <v>19</v>
      </c>
      <c r="C12" s="22" t="s">
        <v>18</v>
      </c>
      <c r="D12" s="17">
        <f>E12*12*$D$2</f>
        <v>96.21351306748213</v>
      </c>
      <c r="E12" s="17">
        <v>0.051313873635990465</v>
      </c>
      <c r="F12" s="2"/>
      <c r="G12" s="14"/>
    </row>
    <row r="13" spans="1:7" ht="15">
      <c r="A13" s="145" t="s">
        <v>67</v>
      </c>
      <c r="B13" s="146"/>
      <c r="C13" s="146"/>
      <c r="D13" s="24">
        <f>SUM(D14:D15)</f>
        <v>639.4143058312424</v>
      </c>
      <c r="E13" s="24">
        <f>SUM(E14:E15)</f>
        <v>0.34102096310999597</v>
      </c>
      <c r="F13" s="2"/>
      <c r="G13" s="14"/>
    </row>
    <row r="14" spans="1:7" ht="60">
      <c r="A14" s="15">
        <v>5</v>
      </c>
      <c r="B14" s="22" t="s">
        <v>21</v>
      </c>
      <c r="C14" s="22" t="s">
        <v>18</v>
      </c>
      <c r="D14" s="17">
        <f>E14*12*$D$2</f>
        <v>21.83617933067097</v>
      </c>
      <c r="E14" s="17">
        <v>0.011645962309691183</v>
      </c>
      <c r="F14" s="2"/>
      <c r="G14" s="14"/>
    </row>
    <row r="15" spans="1:7" ht="75">
      <c r="A15" s="15">
        <v>6</v>
      </c>
      <c r="B15" s="22" t="s">
        <v>22</v>
      </c>
      <c r="C15" s="22" t="s">
        <v>23</v>
      </c>
      <c r="D15" s="17">
        <f>E15*12*$D$2</f>
        <v>617.5781265005714</v>
      </c>
      <c r="E15" s="17">
        <v>0.3293750008003048</v>
      </c>
      <c r="F15" s="2"/>
      <c r="G15" s="14"/>
    </row>
    <row r="16" spans="1:7" ht="15">
      <c r="A16" s="145" t="s">
        <v>70</v>
      </c>
      <c r="B16" s="145"/>
      <c r="C16" s="145"/>
      <c r="D16" s="25">
        <f>SUM(D17)</f>
        <v>366.8263153058404</v>
      </c>
      <c r="E16" s="25">
        <f>SUM(E17)</f>
        <v>0.19564070149644822</v>
      </c>
      <c r="F16" s="2"/>
      <c r="G16" s="14"/>
    </row>
    <row r="17" spans="1:7" ht="15">
      <c r="A17" s="15">
        <v>7</v>
      </c>
      <c r="B17" s="22" t="s">
        <v>25</v>
      </c>
      <c r="C17" s="22" t="s">
        <v>26</v>
      </c>
      <c r="D17" s="17">
        <f>E17*12*$D$2</f>
        <v>366.8263153058404</v>
      </c>
      <c r="E17" s="26">
        <f>0.0122307014964482+0.19488-0.02+0.00853</f>
        <v>0.19564070149644822</v>
      </c>
      <c r="F17" s="2"/>
      <c r="G17" s="14"/>
    </row>
    <row r="18" spans="1:7" ht="15">
      <c r="A18" s="9"/>
      <c r="B18" s="27" t="s">
        <v>27</v>
      </c>
      <c r="C18" s="27"/>
      <c r="D18" s="48">
        <f>D7+D10+D13+D16</f>
        <v>2185.8429417750713</v>
      </c>
      <c r="E18" s="12">
        <f>E7+E10+E13+E16</f>
        <v>1.1657829022800381</v>
      </c>
      <c r="F18" s="6"/>
      <c r="G18" s="14"/>
    </row>
    <row r="19" spans="1:6" ht="15">
      <c r="A19" s="29"/>
      <c r="B19" s="30"/>
      <c r="C19" s="31"/>
      <c r="D19" s="128"/>
      <c r="E19" s="64"/>
      <c r="F19" s="2"/>
    </row>
    <row r="20" spans="1:6" ht="29.25">
      <c r="A20" s="29"/>
      <c r="B20" s="30" t="s">
        <v>37</v>
      </c>
      <c r="C20" s="43">
        <f>D18</f>
        <v>2185.8429417750713</v>
      </c>
      <c r="D20" s="43"/>
      <c r="E20" s="43"/>
      <c r="F20" s="42"/>
    </row>
    <row r="21" spans="1:6" ht="15">
      <c r="A21" s="29"/>
      <c r="B21" s="30" t="s">
        <v>38</v>
      </c>
      <c r="C21" s="44">
        <f>E18</f>
        <v>1.1657829022800381</v>
      </c>
      <c r="D21" s="42"/>
      <c r="E21" s="42"/>
      <c r="F21" s="42"/>
    </row>
    <row r="22" spans="1:6" ht="15">
      <c r="A22" s="29"/>
      <c r="B22" s="30"/>
      <c r="C22" s="44"/>
      <c r="D22" s="42"/>
      <c r="E22" s="42"/>
      <c r="F22" s="42"/>
    </row>
    <row r="23" spans="1:6" ht="105">
      <c r="A23" s="11" t="s">
        <v>28</v>
      </c>
      <c r="B23" s="11" t="s">
        <v>29</v>
      </c>
      <c r="C23" s="11" t="s">
        <v>30</v>
      </c>
      <c r="D23" s="11" t="s">
        <v>31</v>
      </c>
      <c r="E23" s="11" t="s">
        <v>32</v>
      </c>
      <c r="F23" s="11" t="s">
        <v>33</v>
      </c>
    </row>
    <row r="24" spans="1:6" ht="15">
      <c r="A24" s="11">
        <v>1</v>
      </c>
      <c r="B24" s="8" t="s">
        <v>320</v>
      </c>
      <c r="C24" s="11" t="s">
        <v>383</v>
      </c>
      <c r="D24" s="11">
        <v>4084</v>
      </c>
      <c r="E24" s="37">
        <f>D24/12/D2</f>
        <v>2.1781333333333333</v>
      </c>
      <c r="F24" s="38">
        <v>2</v>
      </c>
    </row>
    <row r="25" spans="1:6" ht="15">
      <c r="A25" s="11"/>
      <c r="B25" s="39" t="s">
        <v>36</v>
      </c>
      <c r="C25" s="10"/>
      <c r="D25" s="54">
        <f>SUM(D24:D24)</f>
        <v>4084</v>
      </c>
      <c r="E25" s="40">
        <f>SUM(E24:E24)</f>
        <v>2.1781333333333333</v>
      </c>
      <c r="F25" s="41"/>
    </row>
    <row r="26" spans="1:6" ht="15">
      <c r="A26" s="29"/>
      <c r="B26" s="30"/>
      <c r="C26" s="44"/>
      <c r="D26" s="42"/>
      <c r="E26" s="42"/>
      <c r="F26" s="42"/>
    </row>
    <row r="27" spans="1:6" ht="29.25">
      <c r="A27" s="29"/>
      <c r="B27" s="30" t="s">
        <v>37</v>
      </c>
      <c r="C27" s="129">
        <f>D18+D25</f>
        <v>6269.842941775071</v>
      </c>
      <c r="D27" s="42"/>
      <c r="E27" s="42"/>
      <c r="F27" s="42"/>
    </row>
    <row r="28" spans="1:6" ht="15">
      <c r="A28" s="29"/>
      <c r="B28" s="30" t="s">
        <v>38</v>
      </c>
      <c r="C28" s="44">
        <f>E18+E25</f>
        <v>3.3439162356133716</v>
      </c>
      <c r="D28" s="42"/>
      <c r="E28" s="42"/>
      <c r="F28" s="42"/>
    </row>
    <row r="29" spans="1:6" ht="15">
      <c r="A29" s="2"/>
      <c r="B29" s="2"/>
      <c r="C29" s="2"/>
      <c r="D29" s="2"/>
      <c r="E29" s="2"/>
      <c r="F29" s="2"/>
    </row>
    <row r="30" spans="1:6" ht="33" customHeight="1">
      <c r="A30" s="138" t="s">
        <v>39</v>
      </c>
      <c r="B30" s="138"/>
      <c r="C30" s="138"/>
      <c r="D30" s="138"/>
      <c r="E30" s="138"/>
      <c r="F30" s="138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4</v>
      </c>
      <c r="C32" s="9" t="s">
        <v>5</v>
      </c>
      <c r="D32" s="9" t="s">
        <v>6</v>
      </c>
      <c r="E32" s="9" t="s">
        <v>7</v>
      </c>
      <c r="F32" s="2"/>
    </row>
    <row r="33" spans="1:5" ht="15">
      <c r="A33" s="139" t="s">
        <v>40</v>
      </c>
      <c r="B33" s="139"/>
      <c r="C33" s="139"/>
      <c r="D33" s="12">
        <f>D34</f>
        <v>18.75</v>
      </c>
      <c r="E33" s="12">
        <f>E34</f>
        <v>0.01</v>
      </c>
    </row>
    <row r="34" spans="1:5" ht="30">
      <c r="A34" s="15">
        <v>1</v>
      </c>
      <c r="B34" s="45" t="s">
        <v>41</v>
      </c>
      <c r="C34" s="45" t="s">
        <v>42</v>
      </c>
      <c r="D34" s="17">
        <f>E34*12*$D$2</f>
        <v>18.75</v>
      </c>
      <c r="E34" s="46">
        <v>0.01</v>
      </c>
    </row>
    <row r="35" spans="1:5" ht="32.25" customHeight="1">
      <c r="A35" s="139" t="s">
        <v>43</v>
      </c>
      <c r="B35" s="139"/>
      <c r="C35" s="139"/>
      <c r="D35" s="12">
        <f>D36+D37</f>
        <v>150</v>
      </c>
      <c r="E35" s="12">
        <f>E36+E37</f>
        <v>0.08</v>
      </c>
    </row>
    <row r="36" spans="1:5" ht="45" customHeight="1">
      <c r="A36" s="15">
        <v>2</v>
      </c>
      <c r="B36" s="45" t="s">
        <v>44</v>
      </c>
      <c r="C36" s="45" t="s">
        <v>45</v>
      </c>
      <c r="D36" s="17">
        <f>E36*$D$2*12</f>
        <v>37.5</v>
      </c>
      <c r="E36" s="46">
        <v>0.02</v>
      </c>
    </row>
    <row r="37" spans="1:5" ht="15">
      <c r="A37" s="15">
        <v>3</v>
      </c>
      <c r="B37" s="47" t="s">
        <v>46</v>
      </c>
      <c r="C37" s="8" t="s">
        <v>213</v>
      </c>
      <c r="D37" s="17">
        <f>E37*$D$2*12</f>
        <v>112.5</v>
      </c>
      <c r="E37" s="18">
        <v>0.06</v>
      </c>
    </row>
    <row r="38" spans="1:6" ht="15">
      <c r="A38" s="9"/>
      <c r="B38" s="27" t="s">
        <v>27</v>
      </c>
      <c r="C38" s="27"/>
      <c r="D38" s="48">
        <f>D33+D35</f>
        <v>168.75</v>
      </c>
      <c r="E38" s="12">
        <f>E33+E35</f>
        <v>0.09</v>
      </c>
      <c r="F38" s="6"/>
    </row>
    <row r="39" spans="1:6" ht="15">
      <c r="A39" s="2"/>
      <c r="B39" s="2"/>
      <c r="C39" s="2"/>
      <c r="D39" s="2"/>
      <c r="E39" s="2"/>
      <c r="F39" s="2"/>
    </row>
    <row r="40" spans="2:3" ht="29.25">
      <c r="B40" s="30" t="s">
        <v>384</v>
      </c>
      <c r="C40" s="43">
        <f>C27</f>
        <v>6269.842941775071</v>
      </c>
    </row>
  </sheetData>
  <sheetProtection/>
  <mergeCells count="8">
    <mergeCell ref="A30:F30"/>
    <mergeCell ref="A33:C33"/>
    <mergeCell ref="A35:C35"/>
    <mergeCell ref="A4:E4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385</v>
      </c>
    </row>
    <row r="2" spans="1:6" ht="39" customHeight="1">
      <c r="A2" s="2"/>
      <c r="B2" s="1" t="s">
        <v>386</v>
      </c>
      <c r="C2" s="4"/>
      <c r="D2" s="5">
        <v>218.56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22.5" customHeight="1">
      <c r="A7" s="140" t="s">
        <v>76</v>
      </c>
      <c r="B7" s="143"/>
      <c r="C7" s="144"/>
      <c r="D7" s="23">
        <f>SUM(D8:D9)</f>
        <v>143.40374301873166</v>
      </c>
      <c r="E7" s="23">
        <f>SUM(E8:E9)</f>
        <v>0.0546774886448922</v>
      </c>
      <c r="F7" s="21"/>
      <c r="G7" s="14"/>
    </row>
    <row r="8" spans="1:7" ht="18.75" customHeight="1">
      <c r="A8" s="15">
        <v>1</v>
      </c>
      <c r="B8" s="22" t="s">
        <v>17</v>
      </c>
      <c r="C8" s="22" t="s">
        <v>18</v>
      </c>
      <c r="D8" s="17">
        <f>E8*12*$D$2</f>
        <v>47.190229951249364</v>
      </c>
      <c r="E8" s="17">
        <v>0.01799285854046538</v>
      </c>
      <c r="F8" s="13"/>
      <c r="G8" s="14"/>
    </row>
    <row r="9" spans="1:7" ht="60">
      <c r="A9" s="15">
        <v>2</v>
      </c>
      <c r="B9" s="22" t="s">
        <v>19</v>
      </c>
      <c r="C9" s="22" t="s">
        <v>18</v>
      </c>
      <c r="D9" s="17">
        <f>E9*12*$D$2</f>
        <v>96.2135130674823</v>
      </c>
      <c r="E9" s="17">
        <v>0.03668463010442682</v>
      </c>
      <c r="F9" s="2"/>
      <c r="G9" s="14"/>
    </row>
    <row r="10" spans="1:7" ht="15">
      <c r="A10" s="145" t="s">
        <v>77</v>
      </c>
      <c r="B10" s="146"/>
      <c r="C10" s="146"/>
      <c r="D10" s="24">
        <f>SUM(D11:D12)</f>
        <v>769.9931074048252</v>
      </c>
      <c r="E10" s="24">
        <f>SUM(E11:E12)</f>
        <v>0.29358570774037074</v>
      </c>
      <c r="F10" s="2"/>
      <c r="G10" s="14"/>
    </row>
    <row r="11" spans="1:7" ht="60">
      <c r="A11" s="15">
        <v>3</v>
      </c>
      <c r="B11" s="22" t="s">
        <v>86</v>
      </c>
      <c r="C11" s="22" t="s">
        <v>18</v>
      </c>
      <c r="D11" s="17">
        <f>E11*12*$D$2</f>
        <v>59.86561933067097</v>
      </c>
      <c r="E11" s="17">
        <f>0.00832577603810966+0.0145</f>
        <v>0.02282577603810966</v>
      </c>
      <c r="F11" s="2"/>
      <c r="G11" s="14"/>
    </row>
    <row r="12" spans="1:7" ht="60">
      <c r="A12" s="15">
        <v>4</v>
      </c>
      <c r="B12" s="22" t="s">
        <v>22</v>
      </c>
      <c r="C12" s="22" t="s">
        <v>122</v>
      </c>
      <c r="D12" s="17">
        <f>E12*12*$D$2</f>
        <v>710.1274880741543</v>
      </c>
      <c r="E12" s="17">
        <v>0.2707599317022611</v>
      </c>
      <c r="F12" s="2"/>
      <c r="G12" s="14"/>
    </row>
    <row r="13" spans="1:7" ht="15">
      <c r="A13" s="145" t="s">
        <v>80</v>
      </c>
      <c r="B13" s="145"/>
      <c r="C13" s="145"/>
      <c r="D13" s="25">
        <f>SUM(D14)</f>
        <v>374.9950185200986</v>
      </c>
      <c r="E13" s="25">
        <f>SUM(E14)</f>
        <v>0.14297943300089166</v>
      </c>
      <c r="F13" s="2"/>
      <c r="G13" s="14"/>
    </row>
    <row r="14" spans="1:7" ht="15">
      <c r="A14" s="15">
        <v>5</v>
      </c>
      <c r="B14" s="22" t="s">
        <v>25</v>
      </c>
      <c r="C14" s="22" t="s">
        <v>26</v>
      </c>
      <c r="D14" s="17">
        <f>E14*12*$D$2</f>
        <v>374.9950185200986</v>
      </c>
      <c r="E14" s="26">
        <f>0.00365842275198966+0.139321010248902</f>
        <v>0.14297943300089166</v>
      </c>
      <c r="F14" s="2"/>
      <c r="G14" s="14"/>
    </row>
    <row r="15" spans="1:7" ht="15">
      <c r="A15" s="9"/>
      <c r="B15" s="27" t="s">
        <v>27</v>
      </c>
      <c r="C15" s="27"/>
      <c r="D15" s="48">
        <f>+D7+D10+D13</f>
        <v>1288.3918689436555</v>
      </c>
      <c r="E15" s="12">
        <f>+E7+E10+E13</f>
        <v>0.4912426293861546</v>
      </c>
      <c r="F15" s="6"/>
      <c r="G15" s="14"/>
    </row>
    <row r="16" spans="1:6" ht="15">
      <c r="A16" s="29"/>
      <c r="B16" s="30"/>
      <c r="C16" s="31"/>
      <c r="D16" s="128"/>
      <c r="E16" s="64"/>
      <c r="F16" s="2"/>
    </row>
    <row r="17" spans="1:6" ht="29.25">
      <c r="A17" s="29"/>
      <c r="B17" s="30" t="s">
        <v>37</v>
      </c>
      <c r="C17" s="43">
        <f>D15</f>
        <v>1288.3918689436555</v>
      </c>
      <c r="D17" s="43"/>
      <c r="E17" s="43"/>
      <c r="F17" s="42"/>
    </row>
    <row r="18" spans="1:6" ht="15">
      <c r="A18" s="29"/>
      <c r="B18" s="30" t="s">
        <v>38</v>
      </c>
      <c r="C18" s="44">
        <f>E15</f>
        <v>0.4912426293861546</v>
      </c>
      <c r="D18" s="42"/>
      <c r="E18" s="42"/>
      <c r="F18" s="42"/>
    </row>
    <row r="19" spans="1:6" ht="15">
      <c r="A19" s="29"/>
      <c r="B19" s="30"/>
      <c r="C19" s="44"/>
      <c r="D19" s="42"/>
      <c r="E19" s="42"/>
      <c r="F19" s="42"/>
    </row>
    <row r="20" spans="1:6" ht="105">
      <c r="A20" s="11" t="s">
        <v>28</v>
      </c>
      <c r="B20" s="11" t="s">
        <v>29</v>
      </c>
      <c r="C20" s="11" t="s">
        <v>30</v>
      </c>
      <c r="D20" s="11" t="s">
        <v>31</v>
      </c>
      <c r="E20" s="11" t="s">
        <v>32</v>
      </c>
      <c r="F20" s="11" t="s">
        <v>33</v>
      </c>
    </row>
    <row r="21" spans="1:6" ht="15">
      <c r="A21" s="11">
        <v>1</v>
      </c>
      <c r="B21" s="8" t="s">
        <v>320</v>
      </c>
      <c r="C21" s="11" t="s">
        <v>141</v>
      </c>
      <c r="D21" s="11">
        <v>5712</v>
      </c>
      <c r="E21" s="37">
        <f>D21/12/D2</f>
        <v>2.177891654465593</v>
      </c>
      <c r="F21" s="38">
        <v>2</v>
      </c>
    </row>
    <row r="22" spans="1:6" ht="15">
      <c r="A22" s="11"/>
      <c r="B22" s="39" t="s">
        <v>36</v>
      </c>
      <c r="C22" s="10"/>
      <c r="D22" s="54">
        <f>SUM(D21:D21)</f>
        <v>5712</v>
      </c>
      <c r="E22" s="40">
        <f>SUM(E21:E21)</f>
        <v>2.177891654465593</v>
      </c>
      <c r="F22" s="41"/>
    </row>
    <row r="23" spans="1:6" ht="15">
      <c r="A23" s="29"/>
      <c r="B23" s="30"/>
      <c r="C23" s="44"/>
      <c r="D23" s="42"/>
      <c r="E23" s="42"/>
      <c r="F23" s="42"/>
    </row>
    <row r="24" spans="1:6" ht="15">
      <c r="A24" s="29"/>
      <c r="B24" s="30"/>
      <c r="C24" s="44"/>
      <c r="D24" s="42"/>
      <c r="E24" s="42"/>
      <c r="F24" s="42"/>
    </row>
    <row r="25" spans="1:6" ht="29.25">
      <c r="A25" s="29"/>
      <c r="B25" s="30" t="s">
        <v>37</v>
      </c>
      <c r="C25" s="129">
        <f>D15+D22</f>
        <v>7000.391868943656</v>
      </c>
      <c r="D25" s="42"/>
      <c r="E25" s="42"/>
      <c r="F25" s="42"/>
    </row>
    <row r="26" spans="1:6" ht="15">
      <c r="A26" s="29"/>
      <c r="B26" s="30" t="s">
        <v>38</v>
      </c>
      <c r="C26" s="44">
        <f>E15+E22</f>
        <v>2.6691342838517476</v>
      </c>
      <c r="D26" s="42"/>
      <c r="E26" s="42"/>
      <c r="F26" s="42"/>
    </row>
    <row r="27" spans="1:6" ht="51" customHeight="1">
      <c r="A27" s="2"/>
      <c r="B27" s="2"/>
      <c r="C27" s="2"/>
      <c r="D27" s="2"/>
      <c r="E27" s="2"/>
      <c r="F27" s="2"/>
    </row>
    <row r="28" spans="1:6" ht="33" customHeight="1">
      <c r="A28" s="138" t="s">
        <v>39</v>
      </c>
      <c r="B28" s="138"/>
      <c r="C28" s="138"/>
      <c r="D28" s="138"/>
      <c r="E28" s="138"/>
      <c r="F28" s="138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4</v>
      </c>
      <c r="C30" s="9" t="s">
        <v>5</v>
      </c>
      <c r="D30" s="9" t="s">
        <v>6</v>
      </c>
      <c r="E30" s="9" t="s">
        <v>7</v>
      </c>
      <c r="F30" s="2"/>
    </row>
    <row r="31" spans="1:5" ht="15">
      <c r="A31" s="139" t="s">
        <v>40</v>
      </c>
      <c r="B31" s="139"/>
      <c r="C31" s="139"/>
      <c r="D31" s="12">
        <f>D32</f>
        <v>26.2272</v>
      </c>
      <c r="E31" s="12">
        <f>E32</f>
        <v>0.01</v>
      </c>
    </row>
    <row r="32" spans="1:5" ht="30">
      <c r="A32" s="15">
        <v>1</v>
      </c>
      <c r="B32" s="45" t="s">
        <v>41</v>
      </c>
      <c r="C32" s="45" t="s">
        <v>42</v>
      </c>
      <c r="D32" s="17">
        <f>E32*12*$D$2</f>
        <v>26.2272</v>
      </c>
      <c r="E32" s="46">
        <v>0.01</v>
      </c>
    </row>
    <row r="33" spans="1:5" ht="32.25" customHeight="1">
      <c r="A33" s="139" t="s">
        <v>43</v>
      </c>
      <c r="B33" s="139"/>
      <c r="C33" s="139"/>
      <c r="D33" s="12">
        <f>D34+D35</f>
        <v>209.8176</v>
      </c>
      <c r="E33" s="12">
        <f>E34+E35</f>
        <v>0.08</v>
      </c>
    </row>
    <row r="34" spans="1:5" ht="45" customHeight="1">
      <c r="A34" s="15">
        <v>2</v>
      </c>
      <c r="B34" s="45" t="s">
        <v>44</v>
      </c>
      <c r="C34" s="45" t="s">
        <v>45</v>
      </c>
      <c r="D34" s="17">
        <f>E34*$D$2*12</f>
        <v>52.4544</v>
      </c>
      <c r="E34" s="46">
        <v>0.02</v>
      </c>
    </row>
    <row r="35" spans="1:5" ht="15">
      <c r="A35" s="15">
        <v>3</v>
      </c>
      <c r="B35" s="47" t="s">
        <v>46</v>
      </c>
      <c r="C35" s="8" t="s">
        <v>213</v>
      </c>
      <c r="D35" s="17">
        <f>E35*$D$2*12</f>
        <v>157.3632</v>
      </c>
      <c r="E35" s="18">
        <v>0.06</v>
      </c>
    </row>
    <row r="36" spans="1:6" ht="15">
      <c r="A36" s="9"/>
      <c r="B36" s="27" t="s">
        <v>27</v>
      </c>
      <c r="C36" s="27"/>
      <c r="D36" s="48">
        <f>D31+D33</f>
        <v>236.0448</v>
      </c>
      <c r="E36" s="12">
        <f>E31+E33</f>
        <v>0.09</v>
      </c>
      <c r="F36" s="6"/>
    </row>
    <row r="37" spans="1:6" ht="15">
      <c r="A37" s="2"/>
      <c r="B37" s="2"/>
      <c r="C37" s="2"/>
      <c r="D37" s="2"/>
      <c r="E37" s="2"/>
      <c r="F37" s="2"/>
    </row>
    <row r="38" spans="2:3" ht="29.25">
      <c r="B38" s="30" t="s">
        <v>387</v>
      </c>
      <c r="C38" s="43">
        <f>C25</f>
        <v>7000.391868943656</v>
      </c>
    </row>
  </sheetData>
  <sheetProtection/>
  <mergeCells count="7">
    <mergeCell ref="A28:F28"/>
    <mergeCell ref="A31:C31"/>
    <mergeCell ref="A33:C33"/>
    <mergeCell ref="A4:E4"/>
    <mergeCell ref="A7:C7"/>
    <mergeCell ref="A10:C10"/>
    <mergeCell ref="A13:C13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31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228</v>
      </c>
    </row>
    <row r="2" spans="1:6" ht="21" customHeight="1">
      <c r="A2" s="2"/>
      <c r="B2" s="1" t="s">
        <v>229</v>
      </c>
      <c r="C2" s="4"/>
      <c r="D2" s="5">
        <v>65.3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30.75" customHeight="1">
      <c r="A7" s="145" t="s">
        <v>8</v>
      </c>
      <c r="B7" s="146"/>
      <c r="C7" s="146"/>
      <c r="D7" s="12">
        <f>SUM(D8:D8)</f>
        <v>586.9432047973868</v>
      </c>
      <c r="E7" s="12">
        <f>SUM(E8:E8)</f>
        <v>0.7490342072452614</v>
      </c>
      <c r="F7" s="13"/>
    </row>
    <row r="8" spans="1:9" ht="15.75" customHeight="1">
      <c r="A8" s="15">
        <v>1</v>
      </c>
      <c r="B8" s="8" t="s">
        <v>9</v>
      </c>
      <c r="C8" s="16" t="s">
        <v>10</v>
      </c>
      <c r="D8" s="17">
        <f>E8*$D$2*12</f>
        <v>586.9432047973868</v>
      </c>
      <c r="E8" s="60">
        <v>0.7490342072452614</v>
      </c>
      <c r="F8" s="2"/>
      <c r="I8" s="61"/>
    </row>
    <row r="9" spans="1:6" ht="18" customHeight="1">
      <c r="A9" s="140" t="s">
        <v>64</v>
      </c>
      <c r="B9" s="143"/>
      <c r="C9" s="144"/>
      <c r="D9" s="23">
        <f>SUM(D10:D11)</f>
        <v>85.67563517824212</v>
      </c>
      <c r="E9" s="23">
        <f>SUM(E10:E11)</f>
        <v>0.10933593054905835</v>
      </c>
      <c r="F9" s="21"/>
    </row>
    <row r="10" spans="1:6" ht="30.75" customHeight="1">
      <c r="A10" s="15">
        <v>2</v>
      </c>
      <c r="B10" s="22" t="s">
        <v>17</v>
      </c>
      <c r="C10" s="22" t="s">
        <v>18</v>
      </c>
      <c r="D10" s="17">
        <f>E10*12*$D$2</f>
        <v>47.19022995124923</v>
      </c>
      <c r="E10" s="60">
        <v>0.06022234552226803</v>
      </c>
      <c r="F10" s="13"/>
    </row>
    <row r="11" spans="1:6" ht="60">
      <c r="A11" s="15">
        <v>3</v>
      </c>
      <c r="B11" s="22" t="s">
        <v>19</v>
      </c>
      <c r="C11" s="22" t="s">
        <v>18</v>
      </c>
      <c r="D11" s="17">
        <f>E11*12*$D$2</f>
        <v>38.485405226992896</v>
      </c>
      <c r="E11" s="60">
        <v>0.04911358502679033</v>
      </c>
      <c r="F11" s="2"/>
    </row>
    <row r="12" spans="1:6" ht="15">
      <c r="A12" s="145" t="s">
        <v>67</v>
      </c>
      <c r="B12" s="146"/>
      <c r="C12" s="146"/>
      <c r="D12" s="24">
        <f>SUM(D13:D14)</f>
        <v>264.3670680704419</v>
      </c>
      <c r="E12" s="24">
        <f>SUM(E13:E14)</f>
        <v>0.33737502306079875</v>
      </c>
      <c r="F12" s="2"/>
    </row>
    <row r="13" spans="1:10" ht="60">
      <c r="A13" s="15">
        <v>4</v>
      </c>
      <c r="B13" s="22" t="s">
        <v>86</v>
      </c>
      <c r="C13" s="22" t="s">
        <v>18</v>
      </c>
      <c r="D13" s="17">
        <f>E13*12*$D$2</f>
        <v>13.176963154597571</v>
      </c>
      <c r="E13" s="63">
        <v>0.016815930518884088</v>
      </c>
      <c r="F13" s="2"/>
      <c r="G13" s="64"/>
      <c r="I13" s="64"/>
      <c r="J13" s="65"/>
    </row>
    <row r="14" spans="1:10" ht="60">
      <c r="A14" s="15">
        <v>5</v>
      </c>
      <c r="B14" s="22" t="s">
        <v>22</v>
      </c>
      <c r="C14" s="22" t="s">
        <v>217</v>
      </c>
      <c r="D14" s="17">
        <f>E14*12*$D$2</f>
        <v>251.19010491584433</v>
      </c>
      <c r="E14" s="63">
        <v>0.32055909254191467</v>
      </c>
      <c r="F14" s="2"/>
      <c r="G14" s="64"/>
      <c r="I14" s="64"/>
      <c r="J14" s="65"/>
    </row>
    <row r="15" spans="1:9" ht="15">
      <c r="A15" s="145" t="s">
        <v>70</v>
      </c>
      <c r="B15" s="145"/>
      <c r="C15" s="145"/>
      <c r="D15" s="25">
        <f>SUM(D16)</f>
        <v>165.82558474889072</v>
      </c>
      <c r="E15" s="23">
        <f>SUM(E16)</f>
        <v>0.21162019493222398</v>
      </c>
      <c r="F15" s="2"/>
      <c r="I15" s="80"/>
    </row>
    <row r="16" spans="1:10" ht="15">
      <c r="A16" s="15">
        <v>6</v>
      </c>
      <c r="B16" s="22" t="s">
        <v>25</v>
      </c>
      <c r="C16" s="22" t="s">
        <v>26</v>
      </c>
      <c r="D16" s="17">
        <f>E16*12*$D$2</f>
        <v>165.82558474889072</v>
      </c>
      <c r="E16" s="60">
        <f>0.217820194932224-0.0062</f>
        <v>0.21162019493222398</v>
      </c>
      <c r="F16" s="2"/>
      <c r="G16" s="107"/>
      <c r="I16" s="80"/>
      <c r="J16" s="80"/>
    </row>
    <row r="17" spans="1:14" ht="15">
      <c r="A17" s="9"/>
      <c r="B17" s="27" t="s">
        <v>27</v>
      </c>
      <c r="C17" s="27"/>
      <c r="D17" s="48">
        <f>D7+D9+D12+D15</f>
        <v>1102.8114927949614</v>
      </c>
      <c r="E17" s="12">
        <f>E7+E9+E12+E15</f>
        <v>1.4073653557873425</v>
      </c>
      <c r="F17" s="6"/>
      <c r="G17" s="64"/>
      <c r="I17" s="64"/>
      <c r="J17" s="64"/>
      <c r="K17" s="64"/>
      <c r="L17" s="64"/>
      <c r="M17" s="107"/>
      <c r="N17" s="65"/>
    </row>
    <row r="18" spans="1:6" ht="15">
      <c r="A18" s="29"/>
      <c r="B18" s="30"/>
      <c r="C18" s="31"/>
      <c r="D18" s="32"/>
      <c r="E18" s="33"/>
      <c r="F18" s="2"/>
    </row>
    <row r="19" spans="1:6" ht="15">
      <c r="A19" s="30"/>
      <c r="B19" s="30"/>
      <c r="C19" s="30"/>
      <c r="D19" s="30"/>
      <c r="E19" s="30"/>
      <c r="F19" s="29"/>
    </row>
    <row r="20" spans="1:6" ht="105">
      <c r="A20" s="11" t="s">
        <v>28</v>
      </c>
      <c r="B20" s="11" t="s">
        <v>29</v>
      </c>
      <c r="C20" s="11" t="s">
        <v>30</v>
      </c>
      <c r="D20" s="11" t="s">
        <v>31</v>
      </c>
      <c r="E20" s="11" t="s">
        <v>32</v>
      </c>
      <c r="F20" s="11" t="s">
        <v>33</v>
      </c>
    </row>
    <row r="21" spans="1:6" ht="15">
      <c r="A21" s="11">
        <v>1</v>
      </c>
      <c r="B21" s="8" t="s">
        <v>123</v>
      </c>
      <c r="C21" s="11" t="s">
        <v>186</v>
      </c>
      <c r="D21" s="11">
        <v>1707.2</v>
      </c>
      <c r="E21" s="37">
        <f>D21/12/$D$2</f>
        <v>2.1786625829504853</v>
      </c>
      <c r="F21" s="38">
        <v>2</v>
      </c>
    </row>
    <row r="22" spans="1:6" ht="15">
      <c r="A22" s="11"/>
      <c r="B22" s="39" t="s">
        <v>36</v>
      </c>
      <c r="C22" s="10"/>
      <c r="D22" s="54">
        <f>SUM(D21:D21)</f>
        <v>1707.2</v>
      </c>
      <c r="E22" s="40">
        <f>SUM(E21:E21)</f>
        <v>2.1786625829504853</v>
      </c>
      <c r="F22" s="41"/>
    </row>
    <row r="23" spans="1:6" ht="24" customHeight="1">
      <c r="A23" s="29"/>
      <c r="B23" s="30"/>
      <c r="C23" s="42"/>
      <c r="D23" s="42"/>
      <c r="E23" s="42"/>
      <c r="F23" s="42"/>
    </row>
    <row r="24" spans="1:6" ht="29.25">
      <c r="A24" s="29"/>
      <c r="B24" s="30" t="s">
        <v>37</v>
      </c>
      <c r="C24" s="43">
        <f>D17+D22</f>
        <v>2810.0114927949617</v>
      </c>
      <c r="D24" s="43"/>
      <c r="E24" s="43"/>
      <c r="F24" s="42"/>
    </row>
    <row r="25" spans="1:6" ht="15">
      <c r="A25" s="29"/>
      <c r="B25" s="30" t="s">
        <v>38</v>
      </c>
      <c r="C25" s="44">
        <f>E17+E22</f>
        <v>3.5860279387378275</v>
      </c>
      <c r="D25" s="42"/>
      <c r="E25" s="42"/>
      <c r="F25" s="42"/>
    </row>
    <row r="26" spans="1:6" ht="15">
      <c r="A26" s="29"/>
      <c r="B26" s="30"/>
      <c r="C26" s="44"/>
      <c r="D26" s="42"/>
      <c r="E26" s="42"/>
      <c r="F26" s="42"/>
    </row>
    <row r="27" spans="1:6" ht="42" customHeight="1">
      <c r="A27" s="2"/>
      <c r="B27" s="2"/>
      <c r="C27" s="2"/>
      <c r="D27" s="2"/>
      <c r="E27" s="2"/>
      <c r="F27" s="2"/>
    </row>
    <row r="28" spans="1:6" ht="33" customHeight="1">
      <c r="A28" s="138" t="s">
        <v>39</v>
      </c>
      <c r="B28" s="138"/>
      <c r="C28" s="138"/>
      <c r="D28" s="138"/>
      <c r="E28" s="138"/>
      <c r="F28" s="138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4</v>
      </c>
      <c r="C30" s="9" t="s">
        <v>5</v>
      </c>
      <c r="D30" s="9" t="s">
        <v>6</v>
      </c>
      <c r="E30" s="9" t="s">
        <v>7</v>
      </c>
      <c r="F30" s="2"/>
    </row>
    <row r="31" spans="1:5" ht="30.75" customHeight="1">
      <c r="A31" s="139" t="s">
        <v>40</v>
      </c>
      <c r="B31" s="139"/>
      <c r="C31" s="139"/>
      <c r="D31" s="12">
        <f>D32</f>
        <v>7.835999999999999</v>
      </c>
      <c r="E31" s="12">
        <f>E32</f>
        <v>0.01</v>
      </c>
    </row>
    <row r="32" spans="1:5" ht="30">
      <c r="A32" s="15">
        <v>1</v>
      </c>
      <c r="B32" s="45" t="s">
        <v>41</v>
      </c>
      <c r="C32" s="45" t="s">
        <v>42</v>
      </c>
      <c r="D32" s="17">
        <f>E32*12*$D$2</f>
        <v>7.835999999999999</v>
      </c>
      <c r="E32" s="46">
        <v>0.01</v>
      </c>
    </row>
    <row r="33" spans="1:5" ht="32.25" customHeight="1">
      <c r="A33" s="139" t="s">
        <v>43</v>
      </c>
      <c r="B33" s="139"/>
      <c r="C33" s="139"/>
      <c r="D33" s="12">
        <f>D34</f>
        <v>47.016</v>
      </c>
      <c r="E33" s="12">
        <f>E34</f>
        <v>0.06</v>
      </c>
    </row>
    <row r="34" spans="1:5" ht="15">
      <c r="A34" s="15">
        <v>2</v>
      </c>
      <c r="B34" s="47" t="s">
        <v>46</v>
      </c>
      <c r="C34" s="8" t="s">
        <v>42</v>
      </c>
      <c r="D34" s="17">
        <f>E34*$D$2*12</f>
        <v>47.016</v>
      </c>
      <c r="E34" s="18">
        <v>0.06</v>
      </c>
    </row>
    <row r="35" spans="1:6" ht="15">
      <c r="A35" s="9"/>
      <c r="B35" s="27" t="s">
        <v>27</v>
      </c>
      <c r="C35" s="27"/>
      <c r="D35" s="48">
        <f>D31+D33</f>
        <v>54.852</v>
      </c>
      <c r="E35" s="12">
        <f>E31+E33</f>
        <v>0.06999999999999999</v>
      </c>
      <c r="F35" s="6"/>
    </row>
    <row r="36" spans="1:6" ht="15">
      <c r="A36" s="2"/>
      <c r="B36" s="2"/>
      <c r="C36" s="2"/>
      <c r="D36" s="2"/>
      <c r="E36" s="2"/>
      <c r="F36" s="2"/>
    </row>
    <row r="37" spans="1:6" ht="15">
      <c r="A37" s="34"/>
      <c r="B37" s="34"/>
      <c r="C37" s="34"/>
      <c r="D37" s="34"/>
      <c r="E37" s="34"/>
      <c r="F37" s="35"/>
    </row>
    <row r="38" spans="1:6" ht="105">
      <c r="A38" s="11" t="s">
        <v>28</v>
      </c>
      <c r="B38" s="11" t="s">
        <v>29</v>
      </c>
      <c r="C38" s="11" t="s">
        <v>30</v>
      </c>
      <c r="D38" s="11" t="s">
        <v>31</v>
      </c>
      <c r="E38" s="11" t="s">
        <v>47</v>
      </c>
      <c r="F38" s="11" t="s">
        <v>33</v>
      </c>
    </row>
    <row r="39" spans="1:6" ht="15">
      <c r="A39" s="11">
        <v>1</v>
      </c>
      <c r="B39" s="8" t="s">
        <v>123</v>
      </c>
      <c r="C39" s="11" t="s">
        <v>48</v>
      </c>
      <c r="D39" s="36">
        <v>722</v>
      </c>
      <c r="E39" s="50">
        <f>D39/12/$D$2</f>
        <v>0.9213884635017866</v>
      </c>
      <c r="F39" s="38">
        <v>2</v>
      </c>
    </row>
    <row r="40" spans="1:6" ht="15">
      <c r="A40" s="51"/>
      <c r="B40" s="51" t="s">
        <v>36</v>
      </c>
      <c r="C40" s="51"/>
      <c r="D40" s="52">
        <f>SUM(D39:D39)</f>
        <v>722</v>
      </c>
      <c r="E40" s="53">
        <f>SUM(E39:E39)</f>
        <v>0.9213884635017866</v>
      </c>
      <c r="F40" s="51"/>
    </row>
    <row r="42" spans="2:4" ht="43.5">
      <c r="B42" s="30" t="s">
        <v>230</v>
      </c>
      <c r="D42" s="81">
        <v>2810.0114927949617</v>
      </c>
    </row>
  </sheetData>
  <mergeCells count="8">
    <mergeCell ref="A4:E4"/>
    <mergeCell ref="A7:C7"/>
    <mergeCell ref="A9:C9"/>
    <mergeCell ref="A33:C33"/>
    <mergeCell ref="A12:C12"/>
    <mergeCell ref="A15:C15"/>
    <mergeCell ref="A28:F28"/>
    <mergeCell ref="A31:C31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workbookViewId="0" topLeftCell="A31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231</v>
      </c>
    </row>
    <row r="2" spans="1:6" ht="32.25" customHeight="1">
      <c r="A2" s="2"/>
      <c r="B2" s="1" t="s">
        <v>232</v>
      </c>
      <c r="C2" s="4"/>
      <c r="D2" s="5">
        <v>50.01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8" ht="15">
      <c r="A7" s="140" t="s">
        <v>233</v>
      </c>
      <c r="B7" s="141"/>
      <c r="C7" s="142"/>
      <c r="D7" s="12">
        <f>SUM(D8:D9)</f>
        <v>592.1134729252894</v>
      </c>
      <c r="E7" s="12">
        <f>SUM(E8:E9)</f>
        <v>0.986658456517512</v>
      </c>
      <c r="F7" s="19"/>
      <c r="G7" s="108"/>
      <c r="H7" s="108"/>
    </row>
    <row r="8" spans="1:7" ht="15.75" customHeight="1">
      <c r="A8" s="15">
        <v>1</v>
      </c>
      <c r="B8" s="8" t="s">
        <v>12</v>
      </c>
      <c r="C8" s="16" t="s">
        <v>13</v>
      </c>
      <c r="D8" s="17">
        <f>E8*12*$D$2</f>
        <v>541.7323631521404</v>
      </c>
      <c r="E8" s="60">
        <v>0.902706730574119</v>
      </c>
      <c r="F8" s="21"/>
      <c r="G8" s="108"/>
    </row>
    <row r="9" spans="1:7" ht="30">
      <c r="A9" s="15">
        <v>2</v>
      </c>
      <c r="B9" s="22" t="s">
        <v>14</v>
      </c>
      <c r="C9" s="22" t="s">
        <v>15</v>
      </c>
      <c r="D9" s="17">
        <f>E9*12*$D$2</f>
        <v>50.38110977314904</v>
      </c>
      <c r="E9" s="60">
        <v>0.08395172594339306</v>
      </c>
      <c r="F9" s="21"/>
      <c r="G9" s="108"/>
    </row>
    <row r="10" spans="1:6" ht="30" customHeight="1">
      <c r="A10" s="140" t="s">
        <v>64</v>
      </c>
      <c r="B10" s="143"/>
      <c r="C10" s="144"/>
      <c r="D10" s="23">
        <f>SUM(D11:D11)</f>
        <v>57.728107840489365</v>
      </c>
      <c r="E10" s="23">
        <f>SUM(E11:E11)</f>
        <v>0.09619427421263974</v>
      </c>
      <c r="F10" s="21"/>
    </row>
    <row r="11" spans="1:6" ht="60">
      <c r="A11" s="15">
        <v>3</v>
      </c>
      <c r="B11" s="22" t="s">
        <v>19</v>
      </c>
      <c r="C11" s="22" t="s">
        <v>18</v>
      </c>
      <c r="D11" s="17">
        <f>E11*12*$D$2</f>
        <v>57.728107840489365</v>
      </c>
      <c r="E11" s="60">
        <v>0.09619427421263974</v>
      </c>
      <c r="F11" s="2"/>
    </row>
    <row r="12" spans="1:8" ht="15">
      <c r="A12" s="145" t="s">
        <v>67</v>
      </c>
      <c r="B12" s="146"/>
      <c r="C12" s="146"/>
      <c r="D12" s="24">
        <f>SUM(D13:D14)</f>
        <v>314.23884644604306</v>
      </c>
      <c r="E12" s="24">
        <f>SUM(E13:E14)</f>
        <v>0.5236266854063238</v>
      </c>
      <c r="F12" s="2"/>
      <c r="H12" s="64"/>
    </row>
    <row r="13" spans="1:10" ht="60">
      <c r="A13" s="15">
        <v>4</v>
      </c>
      <c r="B13" s="22" t="s">
        <v>86</v>
      </c>
      <c r="C13" s="22" t="s">
        <v>18</v>
      </c>
      <c r="D13" s="17">
        <f>E13*12*$D$2</f>
        <v>8.659216176073402</v>
      </c>
      <c r="E13" s="60">
        <v>0.014429141131895959</v>
      </c>
      <c r="F13" s="2"/>
      <c r="H13" s="64"/>
      <c r="J13" s="65"/>
    </row>
    <row r="14" spans="1:14" ht="60">
      <c r="A14" s="15">
        <v>5</v>
      </c>
      <c r="B14" s="22" t="s">
        <v>22</v>
      </c>
      <c r="C14" s="22" t="s">
        <v>122</v>
      </c>
      <c r="D14" s="17">
        <f>E14*12*$D$2</f>
        <v>305.57963026996964</v>
      </c>
      <c r="E14" s="60">
        <v>0.5091975442744279</v>
      </c>
      <c r="F14" s="2"/>
      <c r="G14" s="64"/>
      <c r="H14" s="64"/>
      <c r="J14" s="65"/>
      <c r="N14" s="14"/>
    </row>
    <row r="15" spans="1:6" ht="15">
      <c r="A15" s="145" t="s">
        <v>70</v>
      </c>
      <c r="B15" s="145"/>
      <c r="C15" s="145"/>
      <c r="D15" s="25">
        <f>SUM(D16)</f>
        <v>254.50156283636005</v>
      </c>
      <c r="E15" s="23">
        <f>SUM(E16)</f>
        <v>0.42408445450303284</v>
      </c>
      <c r="F15" s="2"/>
    </row>
    <row r="16" spans="1:8" ht="15">
      <c r="A16" s="15">
        <v>6</v>
      </c>
      <c r="B16" s="22" t="s">
        <v>25</v>
      </c>
      <c r="C16" s="22" t="s">
        <v>26</v>
      </c>
      <c r="D16" s="17">
        <f>E16*12*$D$2</f>
        <v>254.50156283636005</v>
      </c>
      <c r="E16" s="60">
        <v>0.42408445450303284</v>
      </c>
      <c r="F16" s="2"/>
      <c r="G16" s="107"/>
      <c r="H16" s="64"/>
    </row>
    <row r="17" spans="1:6" ht="15">
      <c r="A17" s="9"/>
      <c r="B17" s="27" t="s">
        <v>27</v>
      </c>
      <c r="C17" s="27"/>
      <c r="D17" s="48">
        <f>D10+D12+D15+D7</f>
        <v>1218.581990048182</v>
      </c>
      <c r="E17" s="12">
        <f>E10+E12+E15+E7</f>
        <v>2.0305638706395084</v>
      </c>
      <c r="F17" s="6"/>
    </row>
    <row r="18" spans="1:6" ht="15">
      <c r="A18" s="29"/>
      <c r="B18" s="30"/>
      <c r="C18" s="31"/>
      <c r="D18" s="32"/>
      <c r="E18" s="33"/>
      <c r="F18" s="2"/>
    </row>
    <row r="19" spans="1:6" ht="15">
      <c r="A19" s="30"/>
      <c r="B19" s="30"/>
      <c r="C19" s="30"/>
      <c r="D19" s="30"/>
      <c r="E19" s="30"/>
      <c r="F19" s="29"/>
    </row>
    <row r="20" spans="1:6" ht="105">
      <c r="A20" s="11" t="s">
        <v>28</v>
      </c>
      <c r="B20" s="11" t="s">
        <v>29</v>
      </c>
      <c r="C20" s="11" t="s">
        <v>30</v>
      </c>
      <c r="D20" s="11" t="s">
        <v>31</v>
      </c>
      <c r="E20" s="11" t="s">
        <v>32</v>
      </c>
      <c r="F20" s="11" t="s">
        <v>33</v>
      </c>
    </row>
    <row r="21" spans="1:6" ht="15">
      <c r="A21" s="11">
        <v>1</v>
      </c>
      <c r="B21" s="8" t="s">
        <v>123</v>
      </c>
      <c r="C21" s="11" t="s">
        <v>81</v>
      </c>
      <c r="D21" s="11">
        <v>1306.8</v>
      </c>
      <c r="E21" s="37">
        <f>D21/12/$D$2</f>
        <v>2.1775644871025794</v>
      </c>
      <c r="F21" s="38">
        <v>2</v>
      </c>
    </row>
    <row r="22" spans="1:6" ht="15">
      <c r="A22" s="11"/>
      <c r="B22" s="39" t="s">
        <v>36</v>
      </c>
      <c r="C22" s="10"/>
      <c r="D22" s="54">
        <f>SUM(D21:D21)</f>
        <v>1306.8</v>
      </c>
      <c r="E22" s="40">
        <f>SUM(E21:E21)</f>
        <v>2.1775644871025794</v>
      </c>
      <c r="F22" s="41"/>
    </row>
    <row r="23" spans="1:6" ht="15">
      <c r="A23" s="29"/>
      <c r="B23" s="30"/>
      <c r="C23" s="42"/>
      <c r="D23" s="42"/>
      <c r="E23" s="42"/>
      <c r="F23" s="42"/>
    </row>
    <row r="24" spans="1:6" ht="29.25">
      <c r="A24" s="29"/>
      <c r="B24" s="30" t="s">
        <v>37</v>
      </c>
      <c r="C24" s="43">
        <f>D17+D22</f>
        <v>2525.381990048182</v>
      </c>
      <c r="D24" s="43"/>
      <c r="E24" s="43"/>
      <c r="F24" s="42"/>
    </row>
    <row r="25" spans="1:6" ht="15">
      <c r="A25" s="29"/>
      <c r="B25" s="30" t="s">
        <v>38</v>
      </c>
      <c r="C25" s="44">
        <f>E17+E22</f>
        <v>4.208128357742088</v>
      </c>
      <c r="D25" s="42"/>
      <c r="E25" s="42"/>
      <c r="F25" s="42"/>
    </row>
    <row r="26" spans="1:6" ht="15">
      <c r="A26" s="29"/>
      <c r="B26" s="30"/>
      <c r="C26" s="44"/>
      <c r="D26" s="42"/>
      <c r="E26" s="42"/>
      <c r="F26" s="42"/>
    </row>
    <row r="27" spans="1:6" ht="42" customHeight="1">
      <c r="A27" s="2"/>
      <c r="B27" s="2"/>
      <c r="C27" s="2"/>
      <c r="D27" s="2"/>
      <c r="E27" s="2"/>
      <c r="F27" s="2"/>
    </row>
    <row r="28" spans="1:6" ht="33" customHeight="1">
      <c r="A28" s="138" t="s">
        <v>39</v>
      </c>
      <c r="B28" s="138"/>
      <c r="C28" s="138"/>
      <c r="D28" s="138"/>
      <c r="E28" s="138"/>
      <c r="F28" s="138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4</v>
      </c>
      <c r="C30" s="9" t="s">
        <v>5</v>
      </c>
      <c r="D30" s="9" t="s">
        <v>6</v>
      </c>
      <c r="E30" s="9" t="s">
        <v>7</v>
      </c>
      <c r="F30" s="2"/>
    </row>
    <row r="31" spans="1:5" ht="30.75" customHeight="1">
      <c r="A31" s="139" t="s">
        <v>40</v>
      </c>
      <c r="B31" s="139"/>
      <c r="C31" s="139"/>
      <c r="D31" s="12">
        <f>D32</f>
        <v>6.0012</v>
      </c>
      <c r="E31" s="12">
        <f>E32</f>
        <v>0.01</v>
      </c>
    </row>
    <row r="32" spans="1:5" ht="30">
      <c r="A32" s="15">
        <v>1</v>
      </c>
      <c r="B32" s="45" t="s">
        <v>41</v>
      </c>
      <c r="C32" s="45" t="s">
        <v>42</v>
      </c>
      <c r="D32" s="17">
        <f>E32*12*$D$2</f>
        <v>6.0012</v>
      </c>
      <c r="E32" s="46">
        <v>0.01</v>
      </c>
    </row>
    <row r="33" spans="1:5" ht="32.25" customHeight="1">
      <c r="A33" s="139" t="s">
        <v>43</v>
      </c>
      <c r="B33" s="139"/>
      <c r="C33" s="139"/>
      <c r="D33" s="12">
        <f>D34+D35</f>
        <v>48.0096</v>
      </c>
      <c r="E33" s="12">
        <f>E34+E35</f>
        <v>0.08</v>
      </c>
    </row>
    <row r="34" spans="1:5" ht="28.5" customHeight="1">
      <c r="A34" s="15">
        <v>2</v>
      </c>
      <c r="B34" s="45" t="s">
        <v>44</v>
      </c>
      <c r="C34" s="45" t="s">
        <v>45</v>
      </c>
      <c r="D34" s="17">
        <f>E34*$D$2*12</f>
        <v>12.0024</v>
      </c>
      <c r="E34" s="46">
        <v>0.02</v>
      </c>
    </row>
    <row r="35" spans="1:5" ht="15">
      <c r="A35" s="15">
        <v>3</v>
      </c>
      <c r="B35" s="47" t="s">
        <v>46</v>
      </c>
      <c r="C35" s="8" t="s">
        <v>213</v>
      </c>
      <c r="D35" s="17">
        <f>E35*$D$2*12</f>
        <v>36.0072</v>
      </c>
      <c r="E35" s="18">
        <v>0.06</v>
      </c>
    </row>
    <row r="36" spans="1:6" ht="15">
      <c r="A36" s="9"/>
      <c r="B36" s="27" t="s">
        <v>27</v>
      </c>
      <c r="C36" s="27"/>
      <c r="D36" s="48">
        <f>D31+D33</f>
        <v>54.010799999999996</v>
      </c>
      <c r="E36" s="12">
        <f>E31+E33</f>
        <v>0.09</v>
      </c>
      <c r="F36" s="6"/>
    </row>
    <row r="37" spans="1:6" ht="15">
      <c r="A37" s="2"/>
      <c r="B37" s="2"/>
      <c r="C37" s="2"/>
      <c r="D37" s="2"/>
      <c r="E37" s="2"/>
      <c r="F37" s="2"/>
    </row>
    <row r="38" spans="1:6" ht="105">
      <c r="A38" s="11" t="s">
        <v>28</v>
      </c>
      <c r="B38" s="11" t="s">
        <v>29</v>
      </c>
      <c r="C38" s="11" t="s">
        <v>30</v>
      </c>
      <c r="D38" s="11" t="s">
        <v>31</v>
      </c>
      <c r="E38" s="11" t="s">
        <v>32</v>
      </c>
      <c r="F38" s="11" t="s">
        <v>33</v>
      </c>
    </row>
    <row r="39" spans="1:6" ht="15">
      <c r="A39" s="11">
        <v>1</v>
      </c>
      <c r="B39" s="8" t="s">
        <v>123</v>
      </c>
      <c r="C39" s="11" t="s">
        <v>48</v>
      </c>
      <c r="D39" s="11">
        <v>660.8</v>
      </c>
      <c r="E39" s="37">
        <f>D39/12/$D$2</f>
        <v>1.1011131107111911</v>
      </c>
      <c r="F39" s="38">
        <v>2</v>
      </c>
    </row>
    <row r="40" spans="1:6" ht="15">
      <c r="A40" s="11"/>
      <c r="B40" s="39" t="s">
        <v>36</v>
      </c>
      <c r="C40" s="10"/>
      <c r="D40" s="54">
        <f>SUM(D39:D39)</f>
        <v>660.8</v>
      </c>
      <c r="E40" s="40">
        <f>SUM(E39:E39)</f>
        <v>1.1011131107111911</v>
      </c>
      <c r="F40" s="41"/>
    </row>
    <row r="43" spans="2:4" ht="43.5">
      <c r="B43" s="30" t="s">
        <v>234</v>
      </c>
      <c r="D43" s="81">
        <v>2525.381990048182</v>
      </c>
    </row>
  </sheetData>
  <mergeCells count="8">
    <mergeCell ref="A15:C15"/>
    <mergeCell ref="A28:F28"/>
    <mergeCell ref="A31:C31"/>
    <mergeCell ref="A33:C33"/>
    <mergeCell ref="A4:E4"/>
    <mergeCell ref="A7:C7"/>
    <mergeCell ref="A10:C10"/>
    <mergeCell ref="A12:C12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5"/>
  <sheetViews>
    <sheetView workbookViewId="0" topLeftCell="A37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2" ht="15">
      <c r="C2" s="93" t="s">
        <v>322</v>
      </c>
    </row>
    <row r="3" spans="1:6" ht="39" customHeight="1">
      <c r="A3" s="2"/>
      <c r="B3" s="1" t="s">
        <v>323</v>
      </c>
      <c r="C3" s="4"/>
      <c r="D3" s="5">
        <v>139.82</v>
      </c>
      <c r="E3" s="6" t="s">
        <v>2</v>
      </c>
      <c r="F3" s="2"/>
    </row>
    <row r="4" spans="1:6" ht="15">
      <c r="A4" s="2"/>
      <c r="B4" s="7"/>
      <c r="C4" s="2"/>
      <c r="D4" s="2"/>
      <c r="E4" s="2"/>
      <c r="F4" s="2"/>
    </row>
    <row r="5" spans="1:6" ht="30.75" customHeight="1">
      <c r="A5" s="138" t="s">
        <v>3</v>
      </c>
      <c r="B5" s="138"/>
      <c r="C5" s="138"/>
      <c r="D5" s="138"/>
      <c r="E5" s="138"/>
      <c r="F5" s="2"/>
    </row>
    <row r="6" spans="1:6" ht="15">
      <c r="A6" s="1"/>
      <c r="B6" s="1"/>
      <c r="C6" s="1"/>
      <c r="D6" s="1"/>
      <c r="E6" s="1"/>
      <c r="F6" s="2"/>
    </row>
    <row r="7" spans="1:6" ht="71.25">
      <c r="A7" s="8"/>
      <c r="B7" s="9" t="s">
        <v>4</v>
      </c>
      <c r="C7" s="9" t="s">
        <v>5</v>
      </c>
      <c r="D7" s="9" t="s">
        <v>6</v>
      </c>
      <c r="E7" s="9" t="s">
        <v>7</v>
      </c>
      <c r="F7" s="2"/>
    </row>
    <row r="8" spans="1:7" ht="15" customHeight="1">
      <c r="A8" s="140" t="s">
        <v>61</v>
      </c>
      <c r="B8" s="143"/>
      <c r="C8" s="144"/>
      <c r="D8" s="12">
        <f>SUM(D9:D9)</f>
        <v>521.7272931532334</v>
      </c>
      <c r="E8" s="12">
        <f>SUM(E9:E9)</f>
        <v>0.31095175532424635</v>
      </c>
      <c r="F8" s="19"/>
      <c r="G8" s="14"/>
    </row>
    <row r="9" spans="1:7" ht="15.75" customHeight="1">
      <c r="A9" s="15">
        <v>1</v>
      </c>
      <c r="B9" s="8" t="s">
        <v>12</v>
      </c>
      <c r="C9" s="16" t="s">
        <v>13</v>
      </c>
      <c r="D9" s="17">
        <f>E9*$D$3*12</f>
        <v>521.7272931532334</v>
      </c>
      <c r="E9" s="17">
        <v>0.31095175532424635</v>
      </c>
      <c r="F9" s="21"/>
      <c r="G9" s="14"/>
    </row>
    <row r="10" spans="1:7" ht="15">
      <c r="A10" s="140" t="s">
        <v>64</v>
      </c>
      <c r="B10" s="143"/>
      <c r="C10" s="144"/>
      <c r="D10" s="23">
        <f>SUM(D11:D12)</f>
        <v>220.39813705657377</v>
      </c>
      <c r="E10" s="23">
        <f>SUM(E11:E12)</f>
        <v>0.1313582564824857</v>
      </c>
      <c r="F10" s="21"/>
      <c r="G10" s="14"/>
    </row>
    <row r="11" spans="1:7" ht="18.75" customHeight="1">
      <c r="A11" s="15">
        <v>2</v>
      </c>
      <c r="B11" s="22" t="s">
        <v>17</v>
      </c>
      <c r="C11" s="22" t="s">
        <v>18</v>
      </c>
      <c r="D11" s="17">
        <f>E11*12*$D$3</f>
        <v>54.61582610531965</v>
      </c>
      <c r="E11" s="17">
        <v>0.03255127193613196</v>
      </c>
      <c r="F11" s="13"/>
      <c r="G11" s="14"/>
    </row>
    <row r="12" spans="1:7" ht="60">
      <c r="A12" s="15">
        <v>3</v>
      </c>
      <c r="B12" s="22" t="s">
        <v>311</v>
      </c>
      <c r="C12" s="22" t="s">
        <v>18</v>
      </c>
      <c r="D12" s="17">
        <f>E12*12*$D$3</f>
        <v>165.78231095125412</v>
      </c>
      <c r="E12" s="17">
        <v>0.09880698454635373</v>
      </c>
      <c r="F12" s="2"/>
      <c r="G12" s="14"/>
    </row>
    <row r="13" spans="1:7" ht="15">
      <c r="A13" s="145" t="s">
        <v>67</v>
      </c>
      <c r="B13" s="146"/>
      <c r="C13" s="146"/>
      <c r="D13" s="24">
        <f>SUM(D14:D15)</f>
        <v>3226.034653650473</v>
      </c>
      <c r="E13" s="24">
        <f>SUM(E14:E15)</f>
        <v>1.922730804874406</v>
      </c>
      <c r="F13" s="2"/>
      <c r="G13" s="14"/>
    </row>
    <row r="14" spans="1:7" ht="75">
      <c r="A14" s="15">
        <v>4</v>
      </c>
      <c r="B14" s="22" t="s">
        <v>98</v>
      </c>
      <c r="C14" s="22" t="s">
        <v>18</v>
      </c>
      <c r="D14" s="17">
        <f>E14*12*$D$3</f>
        <v>486.06642723984373</v>
      </c>
      <c r="E14" s="17">
        <v>0.28969772281018674</v>
      </c>
      <c r="F14" s="2"/>
      <c r="G14" s="14"/>
    </row>
    <row r="15" spans="1:7" ht="90">
      <c r="A15" s="15">
        <v>5</v>
      </c>
      <c r="B15" s="22" t="s">
        <v>22</v>
      </c>
      <c r="C15" s="22" t="s">
        <v>79</v>
      </c>
      <c r="D15" s="17">
        <f>E15*12*$D$3</f>
        <v>2739.9682264106295</v>
      </c>
      <c r="E15" s="20">
        <v>1.6330330820642194</v>
      </c>
      <c r="F15" s="2"/>
      <c r="G15" s="14"/>
    </row>
    <row r="16" spans="1:7" ht="15">
      <c r="A16" s="145" t="s">
        <v>70</v>
      </c>
      <c r="B16" s="145"/>
      <c r="C16" s="145"/>
      <c r="D16" s="25">
        <f>SUM(D17)</f>
        <v>1326.122019620224</v>
      </c>
      <c r="E16" s="25">
        <f>SUM(E17)</f>
        <v>0.790374540850274</v>
      </c>
      <c r="F16" s="2"/>
      <c r="G16" s="14"/>
    </row>
    <row r="17" spans="1:7" ht="15">
      <c r="A17" s="15">
        <v>6</v>
      </c>
      <c r="B17" s="22" t="s">
        <v>25</v>
      </c>
      <c r="C17" s="22" t="s">
        <v>26</v>
      </c>
      <c r="D17" s="17">
        <f>E17*12*$D$3</f>
        <v>1326.122019620224</v>
      </c>
      <c r="E17" s="26">
        <f>0.789612540850274+0.000762</f>
        <v>0.790374540850274</v>
      </c>
      <c r="F17" s="2"/>
      <c r="G17" s="14"/>
    </row>
    <row r="18" spans="1:7" ht="15">
      <c r="A18" s="9"/>
      <c r="B18" s="27" t="s">
        <v>27</v>
      </c>
      <c r="C18" s="27"/>
      <c r="D18" s="48">
        <f>+D8+D10+D13+D16</f>
        <v>5294.282103480504</v>
      </c>
      <c r="E18" s="12">
        <f>+E8+E10+E13+E16</f>
        <v>3.155415357531412</v>
      </c>
      <c r="F18" s="6"/>
      <c r="G18" s="14"/>
    </row>
    <row r="19" spans="1:6" ht="15">
      <c r="A19" s="29"/>
      <c r="B19" s="30"/>
      <c r="C19" s="31"/>
      <c r="D19" s="128"/>
      <c r="E19" s="64"/>
      <c r="F19" s="2"/>
    </row>
    <row r="20" spans="1:6" ht="15">
      <c r="A20" s="34"/>
      <c r="B20" s="34"/>
      <c r="C20" s="34"/>
      <c r="D20" s="34"/>
      <c r="E20" s="34"/>
      <c r="F20" s="35"/>
    </row>
    <row r="21" spans="1:6" ht="105">
      <c r="A21" s="11" t="s">
        <v>28</v>
      </c>
      <c r="B21" s="11" t="s">
        <v>29</v>
      </c>
      <c r="C21" s="11" t="s">
        <v>30</v>
      </c>
      <c r="D21" s="11" t="s">
        <v>31</v>
      </c>
      <c r="E21" s="11" t="s">
        <v>32</v>
      </c>
      <c r="F21" s="11" t="s">
        <v>33</v>
      </c>
    </row>
    <row r="22" spans="1:6" ht="15">
      <c r="A22" s="11">
        <v>1</v>
      </c>
      <c r="B22" s="8" t="s">
        <v>320</v>
      </c>
      <c r="C22" s="11" t="s">
        <v>51</v>
      </c>
      <c r="D22" s="11">
        <v>3657</v>
      </c>
      <c r="E22" s="37">
        <f>D22/12/$D$3</f>
        <v>2.1795880417679876</v>
      </c>
      <c r="F22" s="38">
        <v>2</v>
      </c>
    </row>
    <row r="23" spans="1:6" ht="15">
      <c r="A23" s="11"/>
      <c r="B23" s="39" t="s">
        <v>36</v>
      </c>
      <c r="C23" s="10"/>
      <c r="D23" s="54">
        <f>SUM(D22:D22)</f>
        <v>3657</v>
      </c>
      <c r="E23" s="40">
        <f>SUM(E22:E22)</f>
        <v>2.1795880417679876</v>
      </c>
      <c r="F23" s="41"/>
    </row>
    <row r="24" spans="1:6" ht="15">
      <c r="A24" s="29"/>
      <c r="B24" s="30"/>
      <c r="C24" s="42"/>
      <c r="D24" s="42"/>
      <c r="E24" s="42"/>
      <c r="F24" s="42"/>
    </row>
    <row r="25" spans="1:6" ht="29.25">
      <c r="A25" s="29"/>
      <c r="B25" s="30" t="s">
        <v>37</v>
      </c>
      <c r="C25" s="43">
        <f>D18+D23</f>
        <v>8951.282103480504</v>
      </c>
      <c r="D25" s="43"/>
      <c r="E25" s="43"/>
      <c r="F25" s="42"/>
    </row>
    <row r="26" spans="1:6" ht="15">
      <c r="A26" s="29"/>
      <c r="B26" s="30" t="s">
        <v>38</v>
      </c>
      <c r="C26" s="44">
        <f>E18+E23</f>
        <v>5.335003399299399</v>
      </c>
      <c r="D26" s="42"/>
      <c r="E26" s="42"/>
      <c r="F26" s="42"/>
    </row>
    <row r="27" spans="1:6" ht="15">
      <c r="A27" s="29"/>
      <c r="B27" s="30"/>
      <c r="C27" s="44"/>
      <c r="D27" s="42"/>
      <c r="E27" s="42"/>
      <c r="F27" s="42"/>
    </row>
    <row r="28" spans="1:6" ht="15">
      <c r="A28" s="2"/>
      <c r="B28" s="2"/>
      <c r="C28" s="2"/>
      <c r="D28" s="2"/>
      <c r="E28" s="2"/>
      <c r="F28" s="2"/>
    </row>
    <row r="29" spans="1:6" ht="33" customHeight="1">
      <c r="A29" s="138" t="s">
        <v>39</v>
      </c>
      <c r="B29" s="138"/>
      <c r="C29" s="138"/>
      <c r="D29" s="138"/>
      <c r="E29" s="138"/>
      <c r="F29" s="13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4</v>
      </c>
      <c r="C31" s="9" t="s">
        <v>5</v>
      </c>
      <c r="D31" s="9" t="s">
        <v>6</v>
      </c>
      <c r="E31" s="9" t="s">
        <v>7</v>
      </c>
      <c r="F31" s="2"/>
    </row>
    <row r="32" spans="1:5" ht="15">
      <c r="A32" s="139" t="s">
        <v>40</v>
      </c>
      <c r="B32" s="139"/>
      <c r="C32" s="139"/>
      <c r="D32" s="12">
        <f>+D33</f>
        <v>16.778399999999998</v>
      </c>
      <c r="E32" s="12">
        <f>+E33</f>
        <v>0.01</v>
      </c>
    </row>
    <row r="33" spans="1:5" ht="30">
      <c r="A33" s="15">
        <v>1</v>
      </c>
      <c r="B33" s="45" t="s">
        <v>41</v>
      </c>
      <c r="C33" s="45" t="s">
        <v>213</v>
      </c>
      <c r="D33" s="17">
        <f>E33*12*$D$3</f>
        <v>16.778399999999998</v>
      </c>
      <c r="E33" s="46">
        <v>0.01</v>
      </c>
    </row>
    <row r="34" spans="1:5" ht="32.25" customHeight="1">
      <c r="A34" s="139" t="s">
        <v>43</v>
      </c>
      <c r="B34" s="139"/>
      <c r="C34" s="139"/>
      <c r="D34" s="12">
        <f>D35+D36</f>
        <v>134.22719999999998</v>
      </c>
      <c r="E34" s="12">
        <f>E35+E36</f>
        <v>0.08</v>
      </c>
    </row>
    <row r="35" spans="1:5" ht="46.5" customHeight="1">
      <c r="A35" s="15">
        <v>2</v>
      </c>
      <c r="B35" s="45" t="s">
        <v>44</v>
      </c>
      <c r="C35" s="45" t="s">
        <v>45</v>
      </c>
      <c r="D35" s="17">
        <f>E35*$D$3*12</f>
        <v>33.556799999999996</v>
      </c>
      <c r="E35" s="46">
        <v>0.02</v>
      </c>
    </row>
    <row r="36" spans="1:5" ht="15">
      <c r="A36" s="15">
        <v>3</v>
      </c>
      <c r="B36" s="47" t="s">
        <v>46</v>
      </c>
      <c r="C36" s="8" t="s">
        <v>42</v>
      </c>
      <c r="D36" s="17">
        <f>E36*$D$3*12</f>
        <v>100.67039999999999</v>
      </c>
      <c r="E36" s="18">
        <v>0.06</v>
      </c>
    </row>
    <row r="37" spans="1:6" ht="15">
      <c r="A37" s="9"/>
      <c r="B37" s="27" t="s">
        <v>27</v>
      </c>
      <c r="C37" s="27"/>
      <c r="D37" s="48">
        <f>D32+D34</f>
        <v>151.0056</v>
      </c>
      <c r="E37" s="12">
        <f>E32+E34</f>
        <v>0.09</v>
      </c>
      <c r="F37" s="6"/>
    </row>
    <row r="38" spans="1:6" ht="15">
      <c r="A38" s="2"/>
      <c r="B38" s="2"/>
      <c r="C38" s="2"/>
      <c r="D38" s="2"/>
      <c r="E38" s="2"/>
      <c r="F38" s="2"/>
    </row>
    <row r="40" spans="1:6" ht="105">
      <c r="A40" s="11" t="s">
        <v>28</v>
      </c>
      <c r="B40" s="11" t="s">
        <v>29</v>
      </c>
      <c r="C40" s="11" t="s">
        <v>30</v>
      </c>
      <c r="D40" s="11" t="s">
        <v>31</v>
      </c>
      <c r="E40" s="11" t="s">
        <v>32</v>
      </c>
      <c r="F40" s="11" t="s">
        <v>33</v>
      </c>
    </row>
    <row r="41" spans="1:6" ht="15">
      <c r="A41" s="11">
        <v>1</v>
      </c>
      <c r="B41" s="8" t="s">
        <v>123</v>
      </c>
      <c r="C41" s="11" t="s">
        <v>124</v>
      </c>
      <c r="D41" s="11">
        <v>1560</v>
      </c>
      <c r="E41" s="37">
        <f>D41/12/$D$3</f>
        <v>0.9297668430839652</v>
      </c>
      <c r="F41" s="38">
        <v>2</v>
      </c>
    </row>
    <row r="42" spans="1:6" ht="15">
      <c r="A42" s="11"/>
      <c r="B42" s="39" t="s">
        <v>36</v>
      </c>
      <c r="C42" s="10"/>
      <c r="D42" s="54">
        <f>SUM(D41:D41)</f>
        <v>1560</v>
      </c>
      <c r="E42" s="40">
        <f>SUM(E41:E41)</f>
        <v>0.9297668430839652</v>
      </c>
      <c r="F42" s="41"/>
    </row>
    <row r="45" spans="2:3" ht="29.25">
      <c r="B45" s="30" t="s">
        <v>324</v>
      </c>
      <c r="C45" s="43">
        <f>C25</f>
        <v>8951.282103480504</v>
      </c>
    </row>
  </sheetData>
  <sheetProtection/>
  <mergeCells count="8">
    <mergeCell ref="A5:E5"/>
    <mergeCell ref="A29:F29"/>
    <mergeCell ref="A32:C32"/>
    <mergeCell ref="A8:C8"/>
    <mergeCell ref="A34:C34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40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7" width="0.37109375" style="3" customWidth="1"/>
    <col min="8" max="8" width="9.125" style="3" hidden="1" customWidth="1"/>
    <col min="9" max="16384" width="9.125" style="3" customWidth="1"/>
  </cols>
  <sheetData>
    <row r="1" ht="15">
      <c r="B1" s="59" t="s">
        <v>235</v>
      </c>
    </row>
    <row r="2" spans="1:6" ht="32.25" customHeight="1">
      <c r="A2" s="2"/>
      <c r="B2" s="1" t="s">
        <v>236</v>
      </c>
      <c r="C2" s="4"/>
      <c r="D2" s="5">
        <v>111.25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8" ht="15">
      <c r="A7" s="140" t="s">
        <v>233</v>
      </c>
      <c r="B7" s="141"/>
      <c r="C7" s="142"/>
      <c r="D7" s="12">
        <f>SUM(D8:D9)</f>
        <v>1628.3120505445454</v>
      </c>
      <c r="E7" s="12">
        <f>SUM(E8:E9)</f>
        <v>1.2197094011569627</v>
      </c>
      <c r="F7" s="19"/>
      <c r="G7" s="108">
        <f>E7*110%</f>
        <v>1.341680341272659</v>
      </c>
      <c r="H7" s="108">
        <f>F7*110%</f>
        <v>0</v>
      </c>
    </row>
    <row r="8" spans="1:7" ht="15.75" customHeight="1">
      <c r="A8" s="15">
        <v>1</v>
      </c>
      <c r="B8" s="8" t="s">
        <v>12</v>
      </c>
      <c r="C8" s="16" t="s">
        <v>13</v>
      </c>
      <c r="D8" s="17">
        <f>E8*12*$D$2</f>
        <v>1489.7639986683855</v>
      </c>
      <c r="E8" s="109">
        <v>1.1159280888901764</v>
      </c>
      <c r="F8" s="21"/>
      <c r="G8" s="108"/>
    </row>
    <row r="9" spans="1:7" ht="30">
      <c r="A9" s="15">
        <v>2</v>
      </c>
      <c r="B9" s="22" t="s">
        <v>14</v>
      </c>
      <c r="C9" s="22" t="s">
        <v>15</v>
      </c>
      <c r="D9" s="17">
        <f>E9*12*$D$2</f>
        <v>138.54805187615986</v>
      </c>
      <c r="E9" s="109">
        <v>0.10378131226678643</v>
      </c>
      <c r="F9" s="21"/>
      <c r="G9" s="108"/>
    </row>
    <row r="10" spans="1:6" ht="30" customHeight="1">
      <c r="A10" s="140" t="s">
        <v>64</v>
      </c>
      <c r="B10" s="143"/>
      <c r="C10" s="144"/>
      <c r="D10" s="23">
        <f>SUM(D11:D11)</f>
        <v>76.9708104539858</v>
      </c>
      <c r="E10" s="110">
        <f>SUM(E11:E11)</f>
        <v>0.057656037793247794</v>
      </c>
      <c r="F10" s="21"/>
    </row>
    <row r="11" spans="1:6" ht="60">
      <c r="A11" s="15">
        <v>3</v>
      </c>
      <c r="B11" s="22" t="s">
        <v>19</v>
      </c>
      <c r="C11" s="22" t="s">
        <v>18</v>
      </c>
      <c r="D11" s="17">
        <f>E11*12*$D$2</f>
        <v>76.9708104539858</v>
      </c>
      <c r="E11" s="109">
        <v>0.057656037793247794</v>
      </c>
      <c r="F11" s="2"/>
    </row>
    <row r="12" spans="1:8" ht="15">
      <c r="A12" s="145" t="s">
        <v>67</v>
      </c>
      <c r="B12" s="146"/>
      <c r="C12" s="146"/>
      <c r="D12" s="24">
        <f>SUM(D13:D14)</f>
        <v>485.18517746865444</v>
      </c>
      <c r="E12" s="111">
        <f>SUM(E13:E14)</f>
        <v>0.36343458986416066</v>
      </c>
      <c r="F12" s="2"/>
      <c r="H12" s="64"/>
    </row>
    <row r="13" spans="1:10" ht="60">
      <c r="A13" s="15">
        <v>4</v>
      </c>
      <c r="B13" s="22" t="s">
        <v>86</v>
      </c>
      <c r="C13" s="22" t="s">
        <v>18</v>
      </c>
      <c r="D13" s="17">
        <f>E13*12*$D$2</f>
        <v>11.545621568097868</v>
      </c>
      <c r="E13" s="109">
        <v>0.008648405668987167</v>
      </c>
      <c r="F13" s="2"/>
      <c r="H13" s="64"/>
      <c r="J13" s="65"/>
    </row>
    <row r="14" spans="1:14" ht="60">
      <c r="A14" s="15">
        <v>5</v>
      </c>
      <c r="B14" s="22" t="s">
        <v>22</v>
      </c>
      <c r="C14" s="22" t="s">
        <v>122</v>
      </c>
      <c r="D14" s="17">
        <f>E14*12*$D$2</f>
        <v>473.63955590055656</v>
      </c>
      <c r="E14" s="109">
        <v>0.3547861841951735</v>
      </c>
      <c r="F14" s="2"/>
      <c r="G14" s="64"/>
      <c r="H14" s="64"/>
      <c r="J14" s="65"/>
      <c r="N14" s="14"/>
    </row>
    <row r="15" spans="1:6" ht="15">
      <c r="A15" s="145" t="s">
        <v>70</v>
      </c>
      <c r="B15" s="145"/>
      <c r="C15" s="145"/>
      <c r="D15" s="25">
        <f>SUM(D16)</f>
        <v>365.0207504324751</v>
      </c>
      <c r="E15" s="110">
        <f>SUM(E16)</f>
        <v>0.273423783095487</v>
      </c>
      <c r="F15" s="2"/>
    </row>
    <row r="16" spans="1:8" ht="15">
      <c r="A16" s="15">
        <v>6</v>
      </c>
      <c r="B16" s="22" t="s">
        <v>25</v>
      </c>
      <c r="C16" s="22" t="s">
        <v>26</v>
      </c>
      <c r="D16" s="17">
        <f>E16*12*$D$2</f>
        <v>365.0207504324751</v>
      </c>
      <c r="E16" s="109">
        <f>0.264723783095487+0.0087</f>
        <v>0.273423783095487</v>
      </c>
      <c r="F16" s="2"/>
      <c r="G16" s="107"/>
      <c r="H16" s="64"/>
    </row>
    <row r="17" spans="1:6" ht="15">
      <c r="A17" s="9"/>
      <c r="B17" s="27" t="s">
        <v>27</v>
      </c>
      <c r="C17" s="27"/>
      <c r="D17" s="48">
        <f>D10+D12+D15+D7</f>
        <v>2555.488788899661</v>
      </c>
      <c r="E17" s="112">
        <f>E10+E12+E15+E7</f>
        <v>1.9142238119098582</v>
      </c>
      <c r="F17" s="6"/>
    </row>
    <row r="18" spans="1:6" ht="15">
      <c r="A18" s="29"/>
      <c r="B18" s="30"/>
      <c r="C18" s="31"/>
      <c r="D18" s="32"/>
      <c r="E18" s="33"/>
      <c r="F18" s="2"/>
    </row>
    <row r="19" spans="1:6" ht="15">
      <c r="A19" s="30"/>
      <c r="B19" s="30"/>
      <c r="C19" s="30"/>
      <c r="D19" s="30"/>
      <c r="E19" s="30"/>
      <c r="F19" s="29"/>
    </row>
    <row r="20" spans="1:6" ht="105">
      <c r="A20" s="11" t="s">
        <v>28</v>
      </c>
      <c r="B20" s="11" t="s">
        <v>29</v>
      </c>
      <c r="C20" s="11" t="s">
        <v>30</v>
      </c>
      <c r="D20" s="11" t="s">
        <v>31</v>
      </c>
      <c r="E20" s="11" t="s">
        <v>32</v>
      </c>
      <c r="F20" s="11" t="s">
        <v>33</v>
      </c>
    </row>
    <row r="21" spans="1:6" ht="15">
      <c r="A21" s="11">
        <v>1</v>
      </c>
      <c r="B21" s="8" t="s">
        <v>123</v>
      </c>
      <c r="C21" s="11" t="s">
        <v>237</v>
      </c>
      <c r="D21" s="11">
        <v>2907.3</v>
      </c>
      <c r="E21" s="37">
        <f>D21/12/$D$2</f>
        <v>2.177752808988764</v>
      </c>
      <c r="F21" s="38">
        <v>2</v>
      </c>
    </row>
    <row r="22" spans="1:6" ht="15">
      <c r="A22" s="11"/>
      <c r="B22" s="39" t="s">
        <v>36</v>
      </c>
      <c r="C22" s="10"/>
      <c r="D22" s="54">
        <f>SUM(D21:D21)</f>
        <v>2907.3</v>
      </c>
      <c r="E22" s="40">
        <f>SUM(E21:E21)</f>
        <v>2.177752808988764</v>
      </c>
      <c r="F22" s="41"/>
    </row>
    <row r="23" spans="1:6" ht="15">
      <c r="A23" s="29"/>
      <c r="B23" s="30"/>
      <c r="C23" s="42"/>
      <c r="D23" s="42"/>
      <c r="E23" s="42"/>
      <c r="F23" s="42"/>
    </row>
    <row r="24" spans="1:6" ht="29.25">
      <c r="A24" s="29"/>
      <c r="B24" s="30" t="s">
        <v>37</v>
      </c>
      <c r="C24" s="43">
        <f>D17+D22</f>
        <v>5462.788788899661</v>
      </c>
      <c r="D24" s="43"/>
      <c r="E24" s="43"/>
      <c r="F24" s="42"/>
    </row>
    <row r="25" spans="1:6" ht="15">
      <c r="A25" s="29"/>
      <c r="B25" s="30" t="s">
        <v>38</v>
      </c>
      <c r="C25" s="44">
        <f>E17+E22</f>
        <v>4.091976620898622</v>
      </c>
      <c r="D25" s="42"/>
      <c r="E25" s="42"/>
      <c r="F25" s="42"/>
    </row>
    <row r="26" spans="1:6" ht="15">
      <c r="A26" s="29"/>
      <c r="B26" s="30"/>
      <c r="C26" s="44"/>
      <c r="D26" s="42"/>
      <c r="E26" s="42"/>
      <c r="F26" s="42"/>
    </row>
    <row r="27" spans="1:6" ht="42" customHeight="1">
      <c r="A27" s="2"/>
      <c r="B27" s="2"/>
      <c r="C27" s="2"/>
      <c r="D27" s="2"/>
      <c r="E27" s="2"/>
      <c r="F27" s="2"/>
    </row>
    <row r="28" spans="1:6" ht="33" customHeight="1">
      <c r="A28" s="138" t="s">
        <v>39</v>
      </c>
      <c r="B28" s="138"/>
      <c r="C28" s="138"/>
      <c r="D28" s="138"/>
      <c r="E28" s="138"/>
      <c r="F28" s="138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4</v>
      </c>
      <c r="C30" s="9" t="s">
        <v>5</v>
      </c>
      <c r="D30" s="9" t="s">
        <v>6</v>
      </c>
      <c r="E30" s="9" t="s">
        <v>7</v>
      </c>
      <c r="F30" s="2"/>
    </row>
    <row r="31" spans="1:5" ht="30.75" customHeight="1">
      <c r="A31" s="139" t="s">
        <v>40</v>
      </c>
      <c r="B31" s="139"/>
      <c r="C31" s="139"/>
      <c r="D31" s="12">
        <f>D32</f>
        <v>13.35</v>
      </c>
      <c r="E31" s="12">
        <f>E32</f>
        <v>0.01</v>
      </c>
    </row>
    <row r="32" spans="1:5" ht="30">
      <c r="A32" s="15">
        <v>1</v>
      </c>
      <c r="B32" s="45" t="s">
        <v>41</v>
      </c>
      <c r="C32" s="45" t="s">
        <v>42</v>
      </c>
      <c r="D32" s="17">
        <f>E32*12*$D$2</f>
        <v>13.35</v>
      </c>
      <c r="E32" s="46">
        <v>0.01</v>
      </c>
    </row>
    <row r="33" spans="1:5" ht="32.25" customHeight="1">
      <c r="A33" s="139" t="s">
        <v>43</v>
      </c>
      <c r="B33" s="139"/>
      <c r="C33" s="139"/>
      <c r="D33" s="12">
        <f>D34+D35</f>
        <v>106.8</v>
      </c>
      <c r="E33" s="12">
        <f>E34+E35</f>
        <v>0.08</v>
      </c>
    </row>
    <row r="34" spans="1:5" ht="28.5" customHeight="1">
      <c r="A34" s="15">
        <v>2</v>
      </c>
      <c r="B34" s="45" t="s">
        <v>44</v>
      </c>
      <c r="C34" s="45" t="s">
        <v>45</v>
      </c>
      <c r="D34" s="17">
        <f>E34*$D$2*12</f>
        <v>26.700000000000003</v>
      </c>
      <c r="E34" s="46">
        <v>0.02</v>
      </c>
    </row>
    <row r="35" spans="1:5" ht="15">
      <c r="A35" s="15">
        <v>3</v>
      </c>
      <c r="B35" s="47" t="s">
        <v>46</v>
      </c>
      <c r="C35" s="8" t="s">
        <v>213</v>
      </c>
      <c r="D35" s="17">
        <f>E35*$D$2*12</f>
        <v>80.1</v>
      </c>
      <c r="E35" s="18">
        <v>0.06</v>
      </c>
    </row>
    <row r="36" spans="1:6" ht="15">
      <c r="A36" s="9"/>
      <c r="B36" s="27" t="s">
        <v>27</v>
      </c>
      <c r="C36" s="27"/>
      <c r="D36" s="48">
        <f>D31+D33</f>
        <v>120.14999999999999</v>
      </c>
      <c r="E36" s="12">
        <f>E31+E33</f>
        <v>0.09</v>
      </c>
      <c r="F36" s="6"/>
    </row>
    <row r="37" spans="1:6" ht="15">
      <c r="A37" s="2"/>
      <c r="B37" s="2"/>
      <c r="C37" s="2"/>
      <c r="D37" s="2"/>
      <c r="E37" s="2"/>
      <c r="F37" s="2"/>
    </row>
    <row r="38" spans="1:6" ht="105">
      <c r="A38" s="11" t="s">
        <v>28</v>
      </c>
      <c r="B38" s="11" t="s">
        <v>29</v>
      </c>
      <c r="C38" s="11" t="s">
        <v>30</v>
      </c>
      <c r="D38" s="11" t="s">
        <v>31</v>
      </c>
      <c r="E38" s="11" t="s">
        <v>32</v>
      </c>
      <c r="F38" s="11" t="s">
        <v>33</v>
      </c>
    </row>
    <row r="39" spans="1:6" ht="15">
      <c r="A39" s="11">
        <v>1</v>
      </c>
      <c r="B39" s="8" t="s">
        <v>123</v>
      </c>
      <c r="C39" s="11" t="s">
        <v>48</v>
      </c>
      <c r="D39" s="11">
        <v>660.8</v>
      </c>
      <c r="E39" s="37">
        <f>D39/12/$D$2</f>
        <v>0.49498127340823966</v>
      </c>
      <c r="F39" s="38">
        <v>2</v>
      </c>
    </row>
    <row r="40" spans="1:6" ht="15">
      <c r="A40" s="11"/>
      <c r="B40" s="39" t="s">
        <v>36</v>
      </c>
      <c r="C40" s="10"/>
      <c r="D40" s="54">
        <f>SUM(D39:D39)</f>
        <v>660.8</v>
      </c>
      <c r="E40" s="40">
        <f>SUM(E39:E39)</f>
        <v>0.49498127340823966</v>
      </c>
      <c r="F40" s="41"/>
    </row>
    <row r="42" spans="2:4" ht="43.5">
      <c r="B42" s="30" t="s">
        <v>238</v>
      </c>
      <c r="D42" s="81">
        <v>5462.788788899661</v>
      </c>
    </row>
  </sheetData>
  <mergeCells count="8">
    <mergeCell ref="A4:E4"/>
    <mergeCell ref="A10:C10"/>
    <mergeCell ref="A12:C12"/>
    <mergeCell ref="A7:C7"/>
    <mergeCell ref="A15:C15"/>
    <mergeCell ref="A28:F28"/>
    <mergeCell ref="A31:C31"/>
    <mergeCell ref="A33:C3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41"/>
  <sheetViews>
    <sheetView zoomScale="97" zoomScaleNormal="97" workbookViewId="0" topLeftCell="A1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38" t="s">
        <v>74</v>
      </c>
      <c r="B1" s="138"/>
      <c r="C1" s="138"/>
      <c r="D1" s="138"/>
      <c r="E1" s="138"/>
      <c r="F1" s="2"/>
    </row>
    <row r="2" spans="1:6" ht="39" customHeight="1">
      <c r="A2" s="2"/>
      <c r="B2" s="1" t="s">
        <v>75</v>
      </c>
      <c r="C2" s="4"/>
      <c r="D2" s="5">
        <v>77.69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76</v>
      </c>
      <c r="B7" s="143"/>
      <c r="C7" s="144"/>
      <c r="D7" s="23">
        <f>SUM(D8:D8)</f>
        <v>38.48540522699292</v>
      </c>
      <c r="E7" s="23">
        <f>SUM(E8:E8)</f>
        <v>0.04128095124532643</v>
      </c>
      <c r="F7" s="21"/>
      <c r="G7" s="14"/>
    </row>
    <row r="8" spans="1:7" ht="60">
      <c r="A8" s="15">
        <v>1</v>
      </c>
      <c r="B8" s="22" t="s">
        <v>19</v>
      </c>
      <c r="C8" s="22" t="s">
        <v>18</v>
      </c>
      <c r="D8" s="17">
        <f>E8*12*$D$2</f>
        <v>38.48540522699292</v>
      </c>
      <c r="E8" s="17">
        <v>0.04128095124532643</v>
      </c>
      <c r="F8" s="2"/>
      <c r="G8" s="14"/>
    </row>
    <row r="9" spans="1:7" ht="15">
      <c r="A9" s="145" t="s">
        <v>77</v>
      </c>
      <c r="B9" s="146"/>
      <c r="C9" s="146"/>
      <c r="D9" s="24">
        <f>SUM(D10:D11)</f>
        <v>1639.554597258101</v>
      </c>
      <c r="E9" s="24">
        <f>SUM(E10:E11)</f>
        <v>1.7586504025165197</v>
      </c>
      <c r="F9" s="2"/>
      <c r="G9" s="14"/>
    </row>
    <row r="10" spans="1:7" ht="75">
      <c r="A10" s="15" t="s">
        <v>63</v>
      </c>
      <c r="B10" s="22" t="s">
        <v>78</v>
      </c>
      <c r="C10" s="22" t="s">
        <v>18</v>
      </c>
      <c r="D10" s="17">
        <f>E10*12*$D$2</f>
        <v>102.58114241401266</v>
      </c>
      <c r="E10" s="17">
        <v>0.11003254646030448</v>
      </c>
      <c r="F10" s="2"/>
      <c r="G10" s="14"/>
    </row>
    <row r="11" spans="1:7" ht="90">
      <c r="A11" s="15" t="s">
        <v>65</v>
      </c>
      <c r="B11" s="22" t="s">
        <v>22</v>
      </c>
      <c r="C11" s="22" t="s">
        <v>79</v>
      </c>
      <c r="D11" s="17">
        <f>E11*12*$D$2</f>
        <v>1536.9734548440883</v>
      </c>
      <c r="E11" s="20">
        <v>1.6486178560562152</v>
      </c>
      <c r="F11" s="2"/>
      <c r="G11" s="14"/>
    </row>
    <row r="12" spans="1:7" ht="15">
      <c r="A12" s="145" t="s">
        <v>80</v>
      </c>
      <c r="B12" s="145"/>
      <c r="C12" s="145"/>
      <c r="D12" s="25">
        <f>SUM(D13)</f>
        <v>178.1965342971382</v>
      </c>
      <c r="E12" s="25">
        <f>SUM(E13)</f>
        <v>0.1911405739661241</v>
      </c>
      <c r="F12" s="2"/>
      <c r="G12" s="14"/>
    </row>
    <row r="13" spans="1:7" ht="15">
      <c r="A13" s="15">
        <v>4</v>
      </c>
      <c r="B13" s="22" t="s">
        <v>25</v>
      </c>
      <c r="C13" s="22" t="s">
        <v>26</v>
      </c>
      <c r="D13" s="17">
        <f>E13*12*$D$2</f>
        <v>178.1965342971382</v>
      </c>
      <c r="E13" s="26">
        <v>0.1911405739661241</v>
      </c>
      <c r="F13" s="2"/>
      <c r="G13" s="14"/>
    </row>
    <row r="14" spans="1:7" ht="15">
      <c r="A14" s="9"/>
      <c r="B14" s="27" t="s">
        <v>27</v>
      </c>
      <c r="C14" s="27"/>
      <c r="D14" s="48">
        <f>+D7+D9+D12+1</f>
        <v>1857.2365367822322</v>
      </c>
      <c r="E14" s="12">
        <f>+E7+E9+E12</f>
        <v>1.9910719277279703</v>
      </c>
      <c r="F14" s="6"/>
      <c r="G14" s="14"/>
    </row>
    <row r="15" spans="1:6" ht="15">
      <c r="A15" s="29"/>
      <c r="B15" s="30"/>
      <c r="C15" s="31"/>
      <c r="D15" s="32"/>
      <c r="E15" s="33"/>
      <c r="F15" s="2"/>
    </row>
    <row r="16" spans="1:6" ht="15">
      <c r="A16" s="34"/>
      <c r="B16" s="34"/>
      <c r="C16" s="34"/>
      <c r="D16" s="34"/>
      <c r="E16" s="34"/>
      <c r="F16" s="35"/>
    </row>
    <row r="17" spans="1:6" ht="105">
      <c r="A17" s="11" t="s">
        <v>28</v>
      </c>
      <c r="B17" s="11" t="s">
        <v>29</v>
      </c>
      <c r="C17" s="11" t="s">
        <v>30</v>
      </c>
      <c r="D17" s="11" t="s">
        <v>31</v>
      </c>
      <c r="E17" s="11" t="s">
        <v>32</v>
      </c>
      <c r="F17" s="11" t="s">
        <v>33</v>
      </c>
    </row>
    <row r="18" spans="1:6" ht="15">
      <c r="A18" s="11">
        <v>1</v>
      </c>
      <c r="B18" s="8" t="s">
        <v>34</v>
      </c>
      <c r="C18" s="11" t="s">
        <v>81</v>
      </c>
      <c r="D18" s="49">
        <v>2030</v>
      </c>
      <c r="E18" s="37">
        <f>D18/12/$D$2</f>
        <v>2.1774574162268845</v>
      </c>
      <c r="F18" s="38">
        <v>1</v>
      </c>
    </row>
    <row r="19" spans="1:6" ht="15">
      <c r="A19" s="11"/>
      <c r="B19" s="39" t="s">
        <v>36</v>
      </c>
      <c r="C19" s="10"/>
      <c r="D19" s="54">
        <f>SUM(D18:D18)</f>
        <v>2030</v>
      </c>
      <c r="E19" s="40">
        <f>SUM(E18:E18)</f>
        <v>2.1774574162268845</v>
      </c>
      <c r="F19" s="41"/>
    </row>
    <row r="20" spans="1:6" ht="15">
      <c r="A20" s="29"/>
      <c r="B20" s="30"/>
      <c r="C20" s="42"/>
      <c r="D20" s="42"/>
      <c r="E20" s="42"/>
      <c r="F20" s="42"/>
    </row>
    <row r="21" spans="1:6" ht="15">
      <c r="A21" s="29"/>
      <c r="B21" s="30"/>
      <c r="C21" s="42"/>
      <c r="D21" s="42"/>
      <c r="E21" s="42"/>
      <c r="F21" s="42"/>
    </row>
    <row r="22" spans="1:6" ht="29.25">
      <c r="A22" s="29"/>
      <c r="B22" s="30" t="s">
        <v>37</v>
      </c>
      <c r="C22" s="43">
        <f>D14+D19</f>
        <v>3887.236536782232</v>
      </c>
      <c r="D22" s="43"/>
      <c r="E22" s="43"/>
      <c r="F22" s="42"/>
    </row>
    <row r="23" spans="1:6" ht="15">
      <c r="A23" s="29"/>
      <c r="B23" s="30" t="s">
        <v>38</v>
      </c>
      <c r="C23" s="44">
        <f>E14+E19</f>
        <v>4.168529343954855</v>
      </c>
      <c r="D23" s="42"/>
      <c r="E23" s="42"/>
      <c r="F23" s="42"/>
    </row>
    <row r="24" spans="1:6" ht="78" customHeight="1">
      <c r="A24" s="2"/>
      <c r="B24" s="2"/>
      <c r="C24" s="2"/>
      <c r="D24" s="2"/>
      <c r="E24" s="2"/>
      <c r="F24" s="2"/>
    </row>
    <row r="25" spans="1:6" ht="33" customHeight="1">
      <c r="A25" s="138" t="s">
        <v>39</v>
      </c>
      <c r="B25" s="138"/>
      <c r="C25" s="138"/>
      <c r="D25" s="138"/>
      <c r="E25" s="138"/>
      <c r="F25" s="138"/>
    </row>
    <row r="26" spans="1:6" ht="15">
      <c r="A26" s="1"/>
      <c r="B26" s="1"/>
      <c r="C26" s="1"/>
      <c r="D26" s="2"/>
      <c r="E26" s="2"/>
      <c r="F26" s="2"/>
    </row>
    <row r="27" spans="1:6" ht="71.25">
      <c r="A27" s="8"/>
      <c r="B27" s="9" t="s">
        <v>4</v>
      </c>
      <c r="C27" s="9" t="s">
        <v>5</v>
      </c>
      <c r="D27" s="9" t="s">
        <v>6</v>
      </c>
      <c r="E27" s="9" t="s">
        <v>7</v>
      </c>
      <c r="F27" s="2"/>
    </row>
    <row r="28" spans="1:5" ht="31.5" customHeight="1">
      <c r="A28" s="139" t="s">
        <v>40</v>
      </c>
      <c r="B28" s="139"/>
      <c r="C28" s="139"/>
      <c r="D28" s="12">
        <f>D29</f>
        <v>9.322799999999999</v>
      </c>
      <c r="E28" s="12">
        <f>E29</f>
        <v>0.01</v>
      </c>
    </row>
    <row r="29" spans="1:5" ht="30">
      <c r="A29" s="15">
        <v>1</v>
      </c>
      <c r="B29" s="45" t="s">
        <v>41</v>
      </c>
      <c r="C29" s="45" t="s">
        <v>42</v>
      </c>
      <c r="D29" s="17">
        <f>E29*12*$D$2</f>
        <v>9.322799999999999</v>
      </c>
      <c r="E29" s="46">
        <v>0.01</v>
      </c>
    </row>
    <row r="30" spans="1:5" ht="32.25" customHeight="1">
      <c r="A30" s="139" t="s">
        <v>43</v>
      </c>
      <c r="B30" s="139"/>
      <c r="C30" s="139"/>
      <c r="D30" s="12">
        <f>D31+D32</f>
        <v>74.58239999999999</v>
      </c>
      <c r="E30" s="12">
        <f>E31+E32</f>
        <v>0.08</v>
      </c>
    </row>
    <row r="31" spans="1:5" ht="28.5" customHeight="1">
      <c r="A31" s="15">
        <v>2</v>
      </c>
      <c r="B31" s="45" t="s">
        <v>44</v>
      </c>
      <c r="C31" s="45" t="s">
        <v>45</v>
      </c>
      <c r="D31" s="17">
        <f>E31*$D$2*12</f>
        <v>18.6456</v>
      </c>
      <c r="E31" s="46">
        <v>0.02</v>
      </c>
    </row>
    <row r="32" spans="1:5" ht="15">
      <c r="A32" s="15">
        <v>3</v>
      </c>
      <c r="B32" s="47" t="s">
        <v>46</v>
      </c>
      <c r="C32" s="8" t="s">
        <v>42</v>
      </c>
      <c r="D32" s="17">
        <f>E32*$D$2*12</f>
        <v>55.93679999999999</v>
      </c>
      <c r="E32" s="18">
        <v>0.06</v>
      </c>
    </row>
    <row r="33" spans="1:6" ht="15">
      <c r="A33" s="9"/>
      <c r="B33" s="27" t="s">
        <v>27</v>
      </c>
      <c r="C33" s="27"/>
      <c r="D33" s="48">
        <f>D28+D30</f>
        <v>83.9052</v>
      </c>
      <c r="E33" s="12">
        <f>E28+E30</f>
        <v>0.09</v>
      </c>
      <c r="F33" s="6"/>
    </row>
    <row r="34" spans="1:6" ht="15">
      <c r="A34" s="2"/>
      <c r="B34" s="2"/>
      <c r="C34" s="2"/>
      <c r="D34" s="2"/>
      <c r="E34" s="2"/>
      <c r="F34" s="2"/>
    </row>
    <row r="35" spans="1:6" ht="15">
      <c r="A35" s="34"/>
      <c r="B35" s="34"/>
      <c r="C35" s="34"/>
      <c r="D35" s="34"/>
      <c r="E35" s="34"/>
      <c r="F35" s="35"/>
    </row>
    <row r="36" spans="1:6" ht="105">
      <c r="A36" s="11" t="s">
        <v>28</v>
      </c>
      <c r="B36" s="11" t="s">
        <v>29</v>
      </c>
      <c r="C36" s="11" t="s">
        <v>30</v>
      </c>
      <c r="D36" s="11" t="s">
        <v>31</v>
      </c>
      <c r="E36" s="11" t="s">
        <v>47</v>
      </c>
      <c r="F36" s="11" t="s">
        <v>33</v>
      </c>
    </row>
    <row r="37" spans="1:6" ht="15">
      <c r="A37" s="11">
        <v>1</v>
      </c>
      <c r="B37" s="8" t="s">
        <v>34</v>
      </c>
      <c r="C37" s="11" t="s">
        <v>82</v>
      </c>
      <c r="D37" s="36">
        <v>520</v>
      </c>
      <c r="E37" s="50">
        <f>D37/12/$D$2</f>
        <v>0.5577723430728966</v>
      </c>
      <c r="F37" s="38">
        <v>1</v>
      </c>
    </row>
    <row r="38" spans="1:6" ht="15">
      <c r="A38" s="51"/>
      <c r="B38" s="51" t="s">
        <v>36</v>
      </c>
      <c r="C38" s="51"/>
      <c r="D38" s="52">
        <f>SUM(D37:D37)</f>
        <v>520</v>
      </c>
      <c r="E38" s="53">
        <f>SUM(E37:E37)</f>
        <v>0.5577723430728966</v>
      </c>
      <c r="F38" s="51"/>
    </row>
    <row r="41" spans="2:3" ht="29.25">
      <c r="B41" s="30" t="s">
        <v>83</v>
      </c>
      <c r="C41" s="55">
        <f>C22</f>
        <v>3887.236536782232</v>
      </c>
    </row>
  </sheetData>
  <mergeCells count="8">
    <mergeCell ref="A9:C9"/>
    <mergeCell ref="A7:C7"/>
    <mergeCell ref="A1:E1"/>
    <mergeCell ref="A4:E4"/>
    <mergeCell ref="A30:C30"/>
    <mergeCell ref="A12:C12"/>
    <mergeCell ref="A25:F25"/>
    <mergeCell ref="A28:C2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40"/>
  <sheetViews>
    <sheetView zoomScale="97" zoomScaleNormal="97" workbookViewId="0" topLeftCell="A22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38" t="s">
        <v>84</v>
      </c>
      <c r="B1" s="138"/>
      <c r="C1" s="138"/>
      <c r="D1" s="138"/>
      <c r="E1" s="138"/>
      <c r="F1" s="2"/>
    </row>
    <row r="2" spans="1:6" ht="24.75" customHeight="1">
      <c r="A2" s="2"/>
      <c r="B2" s="1" t="s">
        <v>85</v>
      </c>
      <c r="C2" s="4"/>
      <c r="D2" s="5">
        <v>53.44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1184.2269458505784</v>
      </c>
      <c r="E7" s="12">
        <f>SUM(E8:E9)</f>
        <v>1.8466612803308673</v>
      </c>
      <c r="F7" s="19"/>
      <c r="G7" s="14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1083.4647263042802</v>
      </c>
      <c r="E8" s="20">
        <v>1.6895345657190002</v>
      </c>
      <c r="F8" s="21"/>
      <c r="G8" s="14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100.7622195462981</v>
      </c>
      <c r="E9" s="17">
        <v>0.15712671461186703</v>
      </c>
      <c r="F9" s="21"/>
      <c r="G9" s="14"/>
    </row>
    <row r="10" spans="1:7" ht="15">
      <c r="A10" s="140" t="s">
        <v>64</v>
      </c>
      <c r="B10" s="143"/>
      <c r="C10" s="144"/>
      <c r="D10" s="23">
        <f>SUM(D11:D11)</f>
        <v>38.48540522699288</v>
      </c>
      <c r="E10" s="23">
        <f>SUM(E11:E11)</f>
        <v>0.06001341882951734</v>
      </c>
      <c r="F10" s="21"/>
      <c r="G10" s="14"/>
    </row>
    <row r="11" spans="1:7" ht="60">
      <c r="A11" s="15">
        <v>3</v>
      </c>
      <c r="B11" s="22" t="s">
        <v>19</v>
      </c>
      <c r="C11" s="22" t="s">
        <v>18</v>
      </c>
      <c r="D11" s="17">
        <f>E11*12*$D$2</f>
        <v>38.48540522699288</v>
      </c>
      <c r="E11" s="17">
        <v>0.06001341882951734</v>
      </c>
      <c r="F11" s="2"/>
      <c r="G11" s="14"/>
    </row>
    <row r="12" spans="1:7" ht="15">
      <c r="A12" s="145" t="s">
        <v>67</v>
      </c>
      <c r="B12" s="146"/>
      <c r="C12" s="146"/>
      <c r="D12" s="24">
        <f>SUM(D13:D14)</f>
        <v>239.347197063034</v>
      </c>
      <c r="E12" s="24">
        <f>SUM(E13:E14)</f>
        <v>0.3732335283542821</v>
      </c>
      <c r="F12" s="2"/>
      <c r="G12" s="14"/>
    </row>
    <row r="13" spans="1:7" ht="60">
      <c r="A13" s="15">
        <v>4</v>
      </c>
      <c r="B13" s="22" t="s">
        <v>86</v>
      </c>
      <c r="C13" s="22" t="s">
        <v>18</v>
      </c>
      <c r="D13" s="17">
        <f>E13*12*$D$2</f>
        <v>5.772810784048932</v>
      </c>
      <c r="E13" s="17">
        <v>0.009002012824427601</v>
      </c>
      <c r="F13" s="2"/>
      <c r="G13" s="14"/>
    </row>
    <row r="14" spans="1:7" ht="60">
      <c r="A14" s="15">
        <v>5</v>
      </c>
      <c r="B14" s="22" t="s">
        <v>22</v>
      </c>
      <c r="C14" s="22" t="s">
        <v>87</v>
      </c>
      <c r="D14" s="17">
        <f>E14*12*$D$2</f>
        <v>233.57438627898506</v>
      </c>
      <c r="E14" s="20">
        <v>0.3642315155298545</v>
      </c>
      <c r="F14" s="2"/>
      <c r="G14" s="14"/>
    </row>
    <row r="15" spans="1:7" ht="15">
      <c r="A15" s="145" t="s">
        <v>70</v>
      </c>
      <c r="B15" s="145"/>
      <c r="C15" s="145"/>
      <c r="D15" s="25">
        <f>SUM(D16)</f>
        <v>182.40631219280763</v>
      </c>
      <c r="E15" s="25">
        <f>SUM(E16)</f>
        <v>0.28444098083958275</v>
      </c>
      <c r="F15" s="2"/>
      <c r="G15" s="14"/>
    </row>
    <row r="16" spans="1:7" ht="15">
      <c r="A16" s="15">
        <v>6</v>
      </c>
      <c r="B16" s="22" t="s">
        <v>25</v>
      </c>
      <c r="C16" s="22" t="s">
        <v>26</v>
      </c>
      <c r="D16" s="17">
        <f>E16*12*$D$2</f>
        <v>182.40631219280763</v>
      </c>
      <c r="E16" s="26">
        <v>0.28444098083958275</v>
      </c>
      <c r="F16" s="2"/>
      <c r="G16" s="14"/>
    </row>
    <row r="17" spans="1:7" ht="15">
      <c r="A17" s="9"/>
      <c r="B17" s="27" t="s">
        <v>27</v>
      </c>
      <c r="C17" s="27"/>
      <c r="D17" s="76">
        <f>D7+D10+D12+D15</f>
        <v>1644.465860333413</v>
      </c>
      <c r="E17" s="12">
        <f>E7+E10+E12+E15</f>
        <v>2.56434920835425</v>
      </c>
      <c r="F17" s="6"/>
      <c r="G17" s="14"/>
    </row>
    <row r="18" spans="1:6" ht="15">
      <c r="A18" s="29"/>
      <c r="B18" s="30"/>
      <c r="C18" s="31"/>
      <c r="D18" s="32"/>
      <c r="E18" s="33"/>
      <c r="F18" s="2"/>
    </row>
    <row r="19" spans="1:6" ht="15">
      <c r="A19" s="34"/>
      <c r="B19" s="34"/>
      <c r="C19" s="34"/>
      <c r="D19" s="34"/>
      <c r="E19" s="34"/>
      <c r="F19" s="35"/>
    </row>
    <row r="20" spans="1:6" ht="105">
      <c r="A20" s="11" t="s">
        <v>28</v>
      </c>
      <c r="B20" s="11" t="s">
        <v>29</v>
      </c>
      <c r="C20" s="11" t="s">
        <v>30</v>
      </c>
      <c r="D20" s="11" t="s">
        <v>31</v>
      </c>
      <c r="E20" s="11" t="s">
        <v>32</v>
      </c>
      <c r="F20" s="11" t="s">
        <v>33</v>
      </c>
    </row>
    <row r="21" spans="1:6" ht="15">
      <c r="A21" s="11">
        <v>1</v>
      </c>
      <c r="B21" s="8" t="s">
        <v>34</v>
      </c>
      <c r="C21" s="11" t="s">
        <v>88</v>
      </c>
      <c r="D21" s="49">
        <v>1398</v>
      </c>
      <c r="E21" s="37">
        <f>D21/12/$D$2</f>
        <v>2.1800149700598803</v>
      </c>
      <c r="F21" s="38">
        <v>1</v>
      </c>
    </row>
    <row r="22" spans="1:6" ht="15">
      <c r="A22" s="11"/>
      <c r="B22" s="39" t="s">
        <v>36</v>
      </c>
      <c r="C22" s="10"/>
      <c r="D22" s="54">
        <f>SUM(D21:D21)</f>
        <v>1398</v>
      </c>
      <c r="E22" s="40">
        <f>SUM(E21:E21)</f>
        <v>2.1800149700598803</v>
      </c>
      <c r="F22" s="41"/>
    </row>
    <row r="23" spans="1:6" ht="15">
      <c r="A23" s="29"/>
      <c r="B23" s="30"/>
      <c r="C23" s="42"/>
      <c r="D23" s="42"/>
      <c r="E23" s="42"/>
      <c r="F23" s="42"/>
    </row>
    <row r="24" spans="1:6" ht="15">
      <c r="A24" s="29"/>
      <c r="B24" s="30"/>
      <c r="C24" s="42"/>
      <c r="D24" s="42"/>
      <c r="E24" s="42"/>
      <c r="F24" s="42"/>
    </row>
    <row r="25" spans="1:6" ht="15">
      <c r="A25" s="29"/>
      <c r="B25" s="30"/>
      <c r="C25" s="42"/>
      <c r="D25" s="42"/>
      <c r="E25" s="42"/>
      <c r="F25" s="42"/>
    </row>
    <row r="26" spans="1:6" ht="29.25">
      <c r="A26" s="29"/>
      <c r="B26" s="30" t="s">
        <v>37</v>
      </c>
      <c r="C26" s="43">
        <f>D17+D22</f>
        <v>3042.465860333413</v>
      </c>
      <c r="D26" s="43"/>
      <c r="E26" s="43"/>
      <c r="F26" s="42"/>
    </row>
    <row r="27" spans="1:6" ht="15">
      <c r="A27" s="29"/>
      <c r="B27" s="30" t="s">
        <v>38</v>
      </c>
      <c r="C27" s="44">
        <f>E17+E22</f>
        <v>4.744364178414131</v>
      </c>
      <c r="D27" s="42"/>
      <c r="E27" s="42"/>
      <c r="F27" s="42"/>
    </row>
    <row r="28" spans="1:6" ht="66.75" customHeight="1">
      <c r="A28" s="2"/>
      <c r="B28" s="2"/>
      <c r="C28" s="2"/>
      <c r="D28" s="2"/>
      <c r="E28" s="2"/>
      <c r="F28" s="2"/>
    </row>
    <row r="29" spans="1:6" ht="33" customHeight="1">
      <c r="A29" s="138" t="s">
        <v>39</v>
      </c>
      <c r="B29" s="138"/>
      <c r="C29" s="138"/>
      <c r="D29" s="138"/>
      <c r="E29" s="138"/>
      <c r="F29" s="13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4</v>
      </c>
      <c r="C31" s="9" t="s">
        <v>5</v>
      </c>
      <c r="D31" s="9" t="s">
        <v>6</v>
      </c>
      <c r="E31" s="9" t="s">
        <v>7</v>
      </c>
      <c r="F31" s="2"/>
    </row>
    <row r="32" spans="1:5" ht="31.5" customHeight="1">
      <c r="A32" s="139" t="s">
        <v>40</v>
      </c>
      <c r="B32" s="139"/>
      <c r="C32" s="139"/>
      <c r="D32" s="12">
        <f>D33</f>
        <v>6.4128</v>
      </c>
      <c r="E32" s="12">
        <f>E33</f>
        <v>0.01</v>
      </c>
    </row>
    <row r="33" spans="1:5" ht="30">
      <c r="A33" s="15">
        <v>1</v>
      </c>
      <c r="B33" s="45" t="s">
        <v>41</v>
      </c>
      <c r="C33" s="45" t="s">
        <v>42</v>
      </c>
      <c r="D33" s="17">
        <f>E33*12*$D$2</f>
        <v>6.4128</v>
      </c>
      <c r="E33" s="46">
        <v>0.01</v>
      </c>
    </row>
    <row r="34" spans="1:5" ht="32.25" customHeight="1">
      <c r="A34" s="139" t="s">
        <v>43</v>
      </c>
      <c r="B34" s="139"/>
      <c r="C34" s="139"/>
      <c r="D34" s="12">
        <f>D35+D36</f>
        <v>51.3024</v>
      </c>
      <c r="E34" s="12">
        <f>E35+E36</f>
        <v>0.08</v>
      </c>
    </row>
    <row r="35" spans="1:5" ht="28.5" customHeight="1">
      <c r="A35" s="15">
        <v>2</v>
      </c>
      <c r="B35" s="45" t="s">
        <v>44</v>
      </c>
      <c r="C35" s="45" t="s">
        <v>45</v>
      </c>
      <c r="D35" s="17">
        <f>E35*$D$2*12</f>
        <v>12.8256</v>
      </c>
      <c r="E35" s="46">
        <v>0.02</v>
      </c>
    </row>
    <row r="36" spans="1:5" ht="15">
      <c r="A36" s="15">
        <v>3</v>
      </c>
      <c r="B36" s="47" t="s">
        <v>46</v>
      </c>
      <c r="C36" s="8" t="s">
        <v>42</v>
      </c>
      <c r="D36" s="17">
        <f>E36*$D$2*12</f>
        <v>38.4768</v>
      </c>
      <c r="E36" s="18">
        <v>0.06</v>
      </c>
    </row>
    <row r="37" spans="1:6" ht="15">
      <c r="A37" s="9"/>
      <c r="B37" s="27" t="s">
        <v>27</v>
      </c>
      <c r="C37" s="27"/>
      <c r="D37" s="48">
        <f>D32+D34</f>
        <v>57.715199999999996</v>
      </c>
      <c r="E37" s="12">
        <f>E32+E34</f>
        <v>0.09</v>
      </c>
      <c r="F37" s="6"/>
    </row>
    <row r="38" spans="1:6" ht="15">
      <c r="A38" s="2"/>
      <c r="B38" s="2"/>
      <c r="C38" s="2"/>
      <c r="D38" s="2"/>
      <c r="E38" s="2"/>
      <c r="F38" s="2"/>
    </row>
    <row r="39" spans="1:6" ht="15">
      <c r="A39" s="30"/>
      <c r="B39" s="30"/>
      <c r="C39" s="30"/>
      <c r="D39" s="30"/>
      <c r="E39" s="30"/>
      <c r="F39" s="29"/>
    </row>
    <row r="40" spans="1:6" ht="29.25">
      <c r="A40" s="56"/>
      <c r="B40" s="30" t="s">
        <v>89</v>
      </c>
      <c r="C40" s="57">
        <f>C26</f>
        <v>3042.465860333413</v>
      </c>
      <c r="D40" s="56"/>
      <c r="E40" s="56"/>
      <c r="F40" s="56"/>
    </row>
  </sheetData>
  <mergeCells count="9">
    <mergeCell ref="A7:C7"/>
    <mergeCell ref="A12:C12"/>
    <mergeCell ref="A10:C10"/>
    <mergeCell ref="A1:E1"/>
    <mergeCell ref="A4:E4"/>
    <mergeCell ref="A34:C34"/>
    <mergeCell ref="A15:C15"/>
    <mergeCell ref="A29:F29"/>
    <mergeCell ref="A32:C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2" sqref="A22:IV2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469</v>
      </c>
    </row>
    <row r="2" spans="1:6" ht="39" customHeight="1">
      <c r="A2" s="2"/>
      <c r="B2" s="1" t="s">
        <v>470</v>
      </c>
      <c r="C2" s="4"/>
      <c r="D2" s="5">
        <v>83.5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233</v>
      </c>
      <c r="B7" s="141"/>
      <c r="C7" s="142"/>
      <c r="D7" s="12">
        <f>SUM(D8:D9)</f>
        <v>1184.2269458505784</v>
      </c>
      <c r="E7" s="12">
        <f>SUM(E8:E9)</f>
        <v>1.181863219411755</v>
      </c>
      <c r="F7" s="19"/>
      <c r="G7" s="108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1083.4647263042805</v>
      </c>
      <c r="E8" s="20">
        <v>1.0813021220601602</v>
      </c>
      <c r="F8" s="21"/>
      <c r="G8" s="108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100.76221954629807</v>
      </c>
      <c r="E9" s="17">
        <v>0.10056109735159488</v>
      </c>
      <c r="F9" s="21"/>
      <c r="G9" s="108"/>
    </row>
    <row r="10" spans="1:7" ht="15">
      <c r="A10" s="140" t="s">
        <v>64</v>
      </c>
      <c r="B10" s="143"/>
      <c r="C10" s="144"/>
      <c r="D10" s="23">
        <f>SUM(D11:D11)</f>
        <v>57.728107840489294</v>
      </c>
      <c r="E10" s="23">
        <f>SUM(E11:E11)</f>
        <v>0.05761288207633662</v>
      </c>
      <c r="F10" s="21"/>
      <c r="G10" s="108"/>
    </row>
    <row r="11" spans="1:6" ht="60">
      <c r="A11" s="15">
        <v>3</v>
      </c>
      <c r="B11" s="22" t="s">
        <v>19</v>
      </c>
      <c r="C11" s="22" t="s">
        <v>18</v>
      </c>
      <c r="D11" s="17">
        <f>E11*12*$D$2</f>
        <v>57.728107840489294</v>
      </c>
      <c r="E11" s="17">
        <v>0.05761288207633662</v>
      </c>
      <c r="F11" s="2"/>
    </row>
    <row r="12" spans="1:6" ht="15">
      <c r="A12" s="145" t="s">
        <v>67</v>
      </c>
      <c r="B12" s="146"/>
      <c r="C12" s="146"/>
      <c r="D12" s="24">
        <f>SUM(D13:D14)</f>
        <v>363.98171467103566</v>
      </c>
      <c r="E12" s="24">
        <f>SUM(E13:E14)</f>
        <v>0.3632552042625106</v>
      </c>
      <c r="F12" s="2"/>
    </row>
    <row r="13" spans="1:6" ht="60">
      <c r="A13" s="15">
        <v>4</v>
      </c>
      <c r="B13" s="22" t="s">
        <v>86</v>
      </c>
      <c r="C13" s="22" t="s">
        <v>18</v>
      </c>
      <c r="D13" s="17">
        <f>E13*12*$D$2</f>
        <v>8.659216176073405</v>
      </c>
      <c r="E13" s="17">
        <v>0.008641932311450504</v>
      </c>
      <c r="F13" s="2"/>
    </row>
    <row r="14" spans="1:6" ht="60">
      <c r="A14" s="15">
        <v>5</v>
      </c>
      <c r="B14" s="22" t="s">
        <v>22</v>
      </c>
      <c r="C14" s="22" t="s">
        <v>87</v>
      </c>
      <c r="D14" s="17">
        <f>E14*12*$D$2</f>
        <v>355.32249849496225</v>
      </c>
      <c r="E14" s="20">
        <v>0.3546132719510601</v>
      </c>
      <c r="F14" s="2"/>
    </row>
    <row r="15" spans="1:6" ht="15">
      <c r="A15" s="145" t="s">
        <v>70</v>
      </c>
      <c r="B15" s="145"/>
      <c r="C15" s="145"/>
      <c r="D15" s="25">
        <f>SUM(D16)</f>
        <v>256.4647666736294</v>
      </c>
      <c r="E15" s="25">
        <f>SUM(E16)</f>
        <v>0.255952860951726</v>
      </c>
      <c r="F15" s="2"/>
    </row>
    <row r="16" spans="1:6" ht="15">
      <c r="A16" s="15">
        <v>6</v>
      </c>
      <c r="B16" s="22" t="s">
        <v>25</v>
      </c>
      <c r="C16" s="22" t="s">
        <v>26</v>
      </c>
      <c r="D16" s="17">
        <f>E16*12*$D$2</f>
        <v>256.4647666736294</v>
      </c>
      <c r="E16" s="26">
        <v>0.255952860951726</v>
      </c>
      <c r="F16" s="2"/>
    </row>
    <row r="17" spans="1:6" ht="15">
      <c r="A17" s="9"/>
      <c r="B17" s="27" t="s">
        <v>27</v>
      </c>
      <c r="C17" s="27"/>
      <c r="D17" s="48">
        <f>D7+D10+D12+D15</f>
        <v>1862.4015350357326</v>
      </c>
      <c r="E17" s="12">
        <f>E7+E10+E12+E15</f>
        <v>1.8586841667023282</v>
      </c>
      <c r="F17" s="6"/>
    </row>
    <row r="18" spans="1:6" ht="15">
      <c r="A18" s="29"/>
      <c r="B18" s="30"/>
      <c r="C18" s="31"/>
      <c r="D18" s="128"/>
      <c r="E18" s="64"/>
      <c r="F18" s="2"/>
    </row>
    <row r="19" spans="1:6" ht="15">
      <c r="A19" s="34"/>
      <c r="B19" s="34"/>
      <c r="C19" s="34"/>
      <c r="D19" s="34"/>
      <c r="E19" s="34"/>
      <c r="F19" s="35"/>
    </row>
    <row r="20" spans="1:6" ht="105">
      <c r="A20" s="11" t="s">
        <v>28</v>
      </c>
      <c r="B20" s="11" t="s">
        <v>29</v>
      </c>
      <c r="C20" s="11" t="s">
        <v>30</v>
      </c>
      <c r="D20" s="11" t="s">
        <v>31</v>
      </c>
      <c r="E20" s="11" t="s">
        <v>32</v>
      </c>
      <c r="F20" s="11" t="s">
        <v>33</v>
      </c>
    </row>
    <row r="21" spans="1:6" ht="15">
      <c r="A21" s="11">
        <v>1</v>
      </c>
      <c r="B21" s="8" t="s">
        <v>471</v>
      </c>
      <c r="C21" s="11" t="s">
        <v>81</v>
      </c>
      <c r="D21" s="11">
        <v>2182.4</v>
      </c>
      <c r="E21" s="37">
        <f>D21/12/$D$2</f>
        <v>2.178043912175649</v>
      </c>
      <c r="F21" s="38">
        <v>2</v>
      </c>
    </row>
    <row r="22" spans="1:6" ht="15">
      <c r="A22" s="11"/>
      <c r="B22" s="39" t="s">
        <v>36</v>
      </c>
      <c r="C22" s="10"/>
      <c r="D22" s="54">
        <f>SUM(D21:D21)</f>
        <v>2182.4</v>
      </c>
      <c r="E22" s="40">
        <f>SUM(E21:E21)</f>
        <v>2.178043912175649</v>
      </c>
      <c r="F22" s="41"/>
    </row>
    <row r="23" spans="1:6" ht="15">
      <c r="A23" s="29"/>
      <c r="B23" s="30"/>
      <c r="C23" s="42"/>
      <c r="D23" s="42"/>
      <c r="E23" s="42"/>
      <c r="F23" s="42"/>
    </row>
    <row r="24" spans="1:6" ht="29.25">
      <c r="A24" s="29"/>
      <c r="B24" s="30" t="s">
        <v>37</v>
      </c>
      <c r="C24" s="43">
        <f>D17+D22</f>
        <v>4044.8015350357327</v>
      </c>
      <c r="D24" s="43"/>
      <c r="E24" s="43"/>
      <c r="F24" s="42"/>
    </row>
    <row r="25" spans="1:6" ht="15">
      <c r="A25" s="29"/>
      <c r="B25" s="30" t="s">
        <v>38</v>
      </c>
      <c r="C25" s="44">
        <f>E17+E22</f>
        <v>4.036728078877977</v>
      </c>
      <c r="D25" s="42"/>
      <c r="E25" s="42"/>
      <c r="F25" s="42"/>
    </row>
    <row r="26" spans="1:6" ht="15">
      <c r="A26" s="29"/>
      <c r="B26" s="30"/>
      <c r="C26" s="44"/>
      <c r="D26" s="42"/>
      <c r="E26" s="42"/>
      <c r="F26" s="42"/>
    </row>
    <row r="27" spans="1:6" ht="113.25" customHeight="1">
      <c r="A27" s="2"/>
      <c r="B27" s="2"/>
      <c r="C27" s="2"/>
      <c r="D27" s="2"/>
      <c r="E27" s="2"/>
      <c r="F27" s="2"/>
    </row>
    <row r="28" spans="1:6" ht="33" customHeight="1">
      <c r="A28" s="138" t="s">
        <v>39</v>
      </c>
      <c r="B28" s="138"/>
      <c r="C28" s="138"/>
      <c r="D28" s="138"/>
      <c r="E28" s="138"/>
      <c r="F28" s="138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4</v>
      </c>
      <c r="C30" s="9" t="s">
        <v>5</v>
      </c>
      <c r="D30" s="9" t="s">
        <v>6</v>
      </c>
      <c r="E30" s="9" t="s">
        <v>7</v>
      </c>
      <c r="F30" s="2"/>
    </row>
    <row r="31" spans="1:5" ht="15">
      <c r="A31" s="139" t="s">
        <v>40</v>
      </c>
      <c r="B31" s="139"/>
      <c r="C31" s="139"/>
      <c r="D31" s="12">
        <f>D32</f>
        <v>10.02</v>
      </c>
      <c r="E31" s="12">
        <f>E32</f>
        <v>0.01</v>
      </c>
    </row>
    <row r="32" spans="1:5" ht="30">
      <c r="A32" s="15">
        <v>1</v>
      </c>
      <c r="B32" s="45" t="s">
        <v>41</v>
      </c>
      <c r="C32" s="45" t="s">
        <v>213</v>
      </c>
      <c r="D32" s="17">
        <f>E32*12*$D$2</f>
        <v>10.02</v>
      </c>
      <c r="E32" s="46">
        <v>0.01</v>
      </c>
    </row>
    <row r="33" spans="1:5" ht="32.25" customHeight="1">
      <c r="A33" s="139" t="s">
        <v>43</v>
      </c>
      <c r="B33" s="139"/>
      <c r="C33" s="139"/>
      <c r="D33" s="12">
        <f>D34+D35</f>
        <v>80.16</v>
      </c>
      <c r="E33" s="12">
        <f>E34+E35</f>
        <v>0.08</v>
      </c>
    </row>
    <row r="34" spans="1:5" ht="28.5" customHeight="1">
      <c r="A34" s="15">
        <v>2</v>
      </c>
      <c r="B34" s="45" t="s">
        <v>44</v>
      </c>
      <c r="C34" s="45" t="s">
        <v>45</v>
      </c>
      <c r="D34" s="17">
        <f>E34*$D$2*12</f>
        <v>20.04</v>
      </c>
      <c r="E34" s="46">
        <v>0.02</v>
      </c>
    </row>
    <row r="35" spans="1:5" ht="15">
      <c r="A35" s="15">
        <v>3</v>
      </c>
      <c r="B35" s="47" t="s">
        <v>46</v>
      </c>
      <c r="C35" s="8" t="s">
        <v>213</v>
      </c>
      <c r="D35" s="17">
        <f>E35*$D$2*12</f>
        <v>60.12</v>
      </c>
      <c r="E35" s="18">
        <v>0.06</v>
      </c>
    </row>
    <row r="36" spans="1:6" ht="15">
      <c r="A36" s="9"/>
      <c r="B36" s="27" t="s">
        <v>27</v>
      </c>
      <c r="C36" s="27"/>
      <c r="D36" s="48">
        <f>D31+D33</f>
        <v>90.17999999999999</v>
      </c>
      <c r="E36" s="12">
        <f>E31+E33</f>
        <v>0.09</v>
      </c>
      <c r="F36" s="6"/>
    </row>
    <row r="37" spans="1:6" ht="15">
      <c r="A37" s="2"/>
      <c r="B37" s="2"/>
      <c r="C37" s="2"/>
      <c r="D37" s="2"/>
      <c r="E37" s="2"/>
      <c r="F37" s="2"/>
    </row>
    <row r="38" spans="2:3" ht="29.25">
      <c r="B38" s="30" t="s">
        <v>472</v>
      </c>
      <c r="C38" s="43">
        <v>4044.8015350357327</v>
      </c>
    </row>
  </sheetData>
  <sheetProtection/>
  <mergeCells count="8">
    <mergeCell ref="A4:E4"/>
    <mergeCell ref="A28:F28"/>
    <mergeCell ref="A31:C31"/>
    <mergeCell ref="A33:C33"/>
    <mergeCell ref="A7:C7"/>
    <mergeCell ref="A10:C10"/>
    <mergeCell ref="A12:C12"/>
    <mergeCell ref="A15:C15"/>
  </mergeCells>
  <printOptions/>
  <pageMargins left="0.2755905511811024" right="0.3937007874015748" top="0.2755905511811024" bottom="0.2755905511811024" header="0" footer="0"/>
  <pageSetup horizontalDpi="600" verticalDpi="600" orientation="portrait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9">
      <selection activeCell="B24" sqref="B24:B25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473</v>
      </c>
    </row>
    <row r="2" spans="1:6" ht="39" customHeight="1">
      <c r="A2" s="2"/>
      <c r="B2" s="1" t="s">
        <v>485</v>
      </c>
      <c r="C2" s="4"/>
      <c r="D2" s="5">
        <v>44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233</v>
      </c>
      <c r="B7" s="141"/>
      <c r="C7" s="142"/>
      <c r="D7" s="12">
        <f>SUM(D8:D9)</f>
        <v>444.0851046939672</v>
      </c>
      <c r="E7" s="12">
        <f>SUM(E8:E9)</f>
        <v>0.8410702740416044</v>
      </c>
      <c r="F7" s="19"/>
      <c r="G7" s="108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406.2992723641054</v>
      </c>
      <c r="E8" s="20">
        <v>0.7695061976592904</v>
      </c>
      <c r="F8" s="21"/>
      <c r="G8" s="108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37.785832329861805</v>
      </c>
      <c r="E9" s="17">
        <v>0.07156407638231402</v>
      </c>
      <c r="F9" s="21"/>
      <c r="G9" s="108"/>
    </row>
    <row r="10" spans="1:7" ht="15">
      <c r="A10" s="140" t="s">
        <v>64</v>
      </c>
      <c r="B10" s="143"/>
      <c r="C10" s="144"/>
      <c r="D10" s="23">
        <f>SUM(D11:D11)</f>
        <v>38.48540522699292</v>
      </c>
      <c r="E10" s="23">
        <f>SUM(E11:E11)</f>
        <v>0.07288902505112295</v>
      </c>
      <c r="F10" s="21"/>
      <c r="G10" s="108"/>
    </row>
    <row r="11" spans="1:6" ht="60">
      <c r="A11" s="15">
        <v>3</v>
      </c>
      <c r="B11" s="22" t="s">
        <v>19</v>
      </c>
      <c r="C11" s="22" t="s">
        <v>18</v>
      </c>
      <c r="D11" s="17">
        <f>E11*12*$D$2</f>
        <v>38.48540522699292</v>
      </c>
      <c r="E11" s="17">
        <v>0.07288902505112295</v>
      </c>
      <c r="F11" s="2"/>
    </row>
    <row r="12" spans="1:6" ht="15">
      <c r="A12" s="145" t="s">
        <v>67</v>
      </c>
      <c r="B12" s="146"/>
      <c r="C12" s="146"/>
      <c r="D12" s="24">
        <f>SUM(D13:D14)</f>
        <v>225.3259167989574</v>
      </c>
      <c r="E12" s="24">
        <f>SUM(E13:E14)</f>
        <v>0.4267536303010557</v>
      </c>
      <c r="F12" s="2"/>
    </row>
    <row r="13" spans="1:6" ht="60">
      <c r="A13" s="15">
        <v>4</v>
      </c>
      <c r="B13" s="22" t="s">
        <v>86</v>
      </c>
      <c r="C13" s="22" t="s">
        <v>18</v>
      </c>
      <c r="D13" s="17">
        <f>E13*12*$D$2</f>
        <v>5.7728107840489375</v>
      </c>
      <c r="E13" s="17">
        <v>0.010933353757668442</v>
      </c>
      <c r="F13" s="2"/>
    </row>
    <row r="14" spans="1:6" ht="60">
      <c r="A14" s="15">
        <v>5</v>
      </c>
      <c r="B14" s="22" t="s">
        <v>22</v>
      </c>
      <c r="C14" s="22" t="s">
        <v>87</v>
      </c>
      <c r="D14" s="17">
        <f>E14*12*$D$2</f>
        <v>219.55310601490845</v>
      </c>
      <c r="E14" s="20">
        <v>0.4158202765433872</v>
      </c>
      <c r="F14" s="2"/>
    </row>
    <row r="15" spans="1:6" ht="15">
      <c r="A15" s="145" t="s">
        <v>70</v>
      </c>
      <c r="B15" s="145"/>
      <c r="C15" s="145"/>
      <c r="D15" s="25">
        <f>SUM(D16)</f>
        <v>170.68102877234517</v>
      </c>
      <c r="E15" s="25">
        <f>SUM(E16)</f>
        <v>0.32325952419004766</v>
      </c>
      <c r="F15" s="2"/>
    </row>
    <row r="16" spans="1:6" ht="15">
      <c r="A16" s="15">
        <v>6</v>
      </c>
      <c r="B16" s="22" t="s">
        <v>25</v>
      </c>
      <c r="C16" s="22" t="s">
        <v>26</v>
      </c>
      <c r="D16" s="17">
        <f>E16*12*$D$2</f>
        <v>170.68102877234517</v>
      </c>
      <c r="E16" s="26">
        <v>0.32325952419004766</v>
      </c>
      <c r="F16" s="2"/>
    </row>
    <row r="17" spans="1:6" ht="15">
      <c r="A17" s="9"/>
      <c r="B17" s="27" t="s">
        <v>27</v>
      </c>
      <c r="C17" s="27"/>
      <c r="D17" s="48">
        <f>D7+D10+D12+D15</f>
        <v>878.5774554922626</v>
      </c>
      <c r="E17" s="12">
        <f>E7+E10+E12+E15</f>
        <v>1.6639724535838307</v>
      </c>
      <c r="F17" s="6"/>
    </row>
    <row r="18" spans="1:6" ht="15">
      <c r="A18" s="29"/>
      <c r="B18" s="30"/>
      <c r="C18" s="31"/>
      <c r="D18" s="128"/>
      <c r="E18" s="64"/>
      <c r="F18" s="2"/>
    </row>
    <row r="19" spans="1:6" ht="15">
      <c r="A19" s="34"/>
      <c r="B19" s="34"/>
      <c r="C19" s="34"/>
      <c r="D19" s="34"/>
      <c r="E19" s="34"/>
      <c r="F19" s="35"/>
    </row>
    <row r="20" spans="1:6" ht="105">
      <c r="A20" s="11" t="s">
        <v>28</v>
      </c>
      <c r="B20" s="11" t="s">
        <v>29</v>
      </c>
      <c r="C20" s="11" t="s">
        <v>30</v>
      </c>
      <c r="D20" s="11" t="s">
        <v>31</v>
      </c>
      <c r="E20" s="11" t="s">
        <v>32</v>
      </c>
      <c r="F20" s="11" t="s">
        <v>33</v>
      </c>
    </row>
    <row r="21" spans="1:6" ht="15">
      <c r="A21" s="11">
        <v>1</v>
      </c>
      <c r="B21" s="8" t="s">
        <v>471</v>
      </c>
      <c r="C21" s="11" t="s">
        <v>48</v>
      </c>
      <c r="D21" s="11">
        <v>1149.5</v>
      </c>
      <c r="E21" s="37">
        <f>D21/12/$D$2</f>
        <v>2.1770833333333335</v>
      </c>
      <c r="F21" s="38">
        <v>2</v>
      </c>
    </row>
    <row r="22" spans="1:6" ht="15">
      <c r="A22" s="11"/>
      <c r="B22" s="39" t="s">
        <v>36</v>
      </c>
      <c r="C22" s="10"/>
      <c r="D22" s="54">
        <f>SUM(D21:D21)</f>
        <v>1149.5</v>
      </c>
      <c r="E22" s="40">
        <f>SUM(E21:E21)</f>
        <v>2.1770833333333335</v>
      </c>
      <c r="F22" s="41"/>
    </row>
    <row r="23" spans="1:6" ht="15">
      <c r="A23" s="29"/>
      <c r="B23" s="30"/>
      <c r="C23" s="42"/>
      <c r="D23" s="42"/>
      <c r="E23" s="42"/>
      <c r="F23" s="42"/>
    </row>
    <row r="24" spans="1:6" ht="29.25">
      <c r="A24" s="29"/>
      <c r="B24" s="30" t="s">
        <v>37</v>
      </c>
      <c r="C24" s="43">
        <f>D17+D22</f>
        <v>2028.0774554922627</v>
      </c>
      <c r="D24" s="43"/>
      <c r="E24" s="43"/>
      <c r="F24" s="42"/>
    </row>
    <row r="25" spans="1:6" ht="15">
      <c r="A25" s="29"/>
      <c r="B25" s="30" t="s">
        <v>38</v>
      </c>
      <c r="C25" s="44">
        <f>E17+E22</f>
        <v>3.841055786917164</v>
      </c>
      <c r="D25" s="42"/>
      <c r="E25" s="42"/>
      <c r="F25" s="42"/>
    </row>
    <row r="26" spans="1:6" ht="15">
      <c r="A26" s="29"/>
      <c r="B26" s="30"/>
      <c r="C26" s="44"/>
      <c r="D26" s="42"/>
      <c r="E26" s="42"/>
      <c r="F26" s="42"/>
    </row>
    <row r="27" spans="1:6" ht="112.5" customHeight="1">
      <c r="A27" s="2"/>
      <c r="B27" s="2"/>
      <c r="C27" s="2"/>
      <c r="D27" s="2"/>
      <c r="E27" s="2"/>
      <c r="F27" s="2"/>
    </row>
    <row r="28" spans="1:6" ht="33" customHeight="1">
      <c r="A28" s="138" t="s">
        <v>39</v>
      </c>
      <c r="B28" s="138"/>
      <c r="C28" s="138"/>
      <c r="D28" s="138"/>
      <c r="E28" s="138"/>
      <c r="F28" s="138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4</v>
      </c>
      <c r="C30" s="9" t="s">
        <v>5</v>
      </c>
      <c r="D30" s="9" t="s">
        <v>6</v>
      </c>
      <c r="E30" s="9" t="s">
        <v>7</v>
      </c>
      <c r="F30" s="2"/>
    </row>
    <row r="31" spans="1:5" ht="15">
      <c r="A31" s="139" t="s">
        <v>40</v>
      </c>
      <c r="B31" s="139"/>
      <c r="C31" s="139"/>
      <c r="D31" s="12">
        <f>D32</f>
        <v>5.279999999999999</v>
      </c>
      <c r="E31" s="12">
        <f>E32</f>
        <v>0.01</v>
      </c>
    </row>
    <row r="32" spans="1:5" ht="30">
      <c r="A32" s="15">
        <v>1</v>
      </c>
      <c r="B32" s="45" t="s">
        <v>41</v>
      </c>
      <c r="C32" s="45" t="s">
        <v>213</v>
      </c>
      <c r="D32" s="17">
        <f>E32*12*$D$2</f>
        <v>5.279999999999999</v>
      </c>
      <c r="E32" s="46">
        <v>0.01</v>
      </c>
    </row>
    <row r="33" spans="1:5" ht="32.25" customHeight="1">
      <c r="A33" s="139" t="s">
        <v>43</v>
      </c>
      <c r="B33" s="139"/>
      <c r="C33" s="139"/>
      <c r="D33" s="12">
        <f>D34+D35</f>
        <v>42.239999999999995</v>
      </c>
      <c r="E33" s="12">
        <f>E34+E35</f>
        <v>0.08</v>
      </c>
    </row>
    <row r="34" spans="1:5" ht="28.5" customHeight="1">
      <c r="A34" s="15">
        <v>2</v>
      </c>
      <c r="B34" s="45" t="s">
        <v>44</v>
      </c>
      <c r="C34" s="45" t="s">
        <v>45</v>
      </c>
      <c r="D34" s="17">
        <f>E34*$D$2*12</f>
        <v>10.56</v>
      </c>
      <c r="E34" s="46">
        <v>0.02</v>
      </c>
    </row>
    <row r="35" spans="1:5" ht="15">
      <c r="A35" s="15">
        <v>3</v>
      </c>
      <c r="B35" s="47" t="s">
        <v>46</v>
      </c>
      <c r="C35" s="8" t="s">
        <v>213</v>
      </c>
      <c r="D35" s="17">
        <f>E35*$D$2*12</f>
        <v>31.679999999999996</v>
      </c>
      <c r="E35" s="18">
        <v>0.06</v>
      </c>
    </row>
    <row r="36" spans="1:6" ht="15">
      <c r="A36" s="9"/>
      <c r="B36" s="27" t="s">
        <v>27</v>
      </c>
      <c r="C36" s="27"/>
      <c r="D36" s="48">
        <f>D31+D33</f>
        <v>47.519999999999996</v>
      </c>
      <c r="E36" s="12">
        <f>E31+E33</f>
        <v>0.09</v>
      </c>
      <c r="F36" s="6"/>
    </row>
    <row r="37" spans="1:6" ht="15">
      <c r="A37" s="2"/>
      <c r="B37" s="2"/>
      <c r="C37" s="2"/>
      <c r="D37" s="2"/>
      <c r="E37" s="2"/>
      <c r="F37" s="2"/>
    </row>
    <row r="38" spans="2:3" ht="29.25">
      <c r="B38" s="30" t="s">
        <v>474</v>
      </c>
      <c r="C38" s="43"/>
    </row>
  </sheetData>
  <sheetProtection/>
  <mergeCells count="8">
    <mergeCell ref="A4:E4"/>
    <mergeCell ref="A28:F28"/>
    <mergeCell ref="A31:C31"/>
    <mergeCell ref="A33:C33"/>
    <mergeCell ref="A7:C7"/>
    <mergeCell ref="A10:C10"/>
    <mergeCell ref="A12:C12"/>
    <mergeCell ref="A15:C15"/>
  </mergeCells>
  <printOptions/>
  <pageMargins left="0.2755905511811024" right="0.3937007874015748" top="0.2755905511811024" bottom="0.2755905511811024" header="0" footer="0"/>
  <pageSetup horizontalDpi="600" verticalDpi="600" orientation="portrait" paperSize="9" scale="9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31">
      <selection activeCell="B24" sqref="B24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475</v>
      </c>
    </row>
    <row r="2" spans="1:6" ht="39" customHeight="1">
      <c r="A2" s="2"/>
      <c r="B2" s="1" t="s">
        <v>476</v>
      </c>
      <c r="C2" s="4"/>
      <c r="D2" s="5">
        <v>73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233</v>
      </c>
      <c r="B7" s="141"/>
      <c r="C7" s="142"/>
      <c r="D7" s="12">
        <f>SUM(D8:D9)</f>
        <v>592.1134729252888</v>
      </c>
      <c r="E7" s="12">
        <f>SUM(E8:E9)</f>
        <v>0.675928622060832</v>
      </c>
      <c r="F7" s="19"/>
      <c r="G7" s="108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541.7323631521398</v>
      </c>
      <c r="E8" s="20">
        <v>0.6184159396713925</v>
      </c>
      <c r="F8" s="21"/>
      <c r="G8" s="108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50.381109773149035</v>
      </c>
      <c r="E9" s="17">
        <v>0.05751268238943953</v>
      </c>
      <c r="F9" s="21"/>
      <c r="G9" s="108"/>
    </row>
    <row r="10" spans="1:7" ht="15">
      <c r="A10" s="140" t="s">
        <v>64</v>
      </c>
      <c r="B10" s="143"/>
      <c r="C10" s="144"/>
      <c r="D10" s="23">
        <f>SUM(D11:D11)</f>
        <v>66.41503350832616</v>
      </c>
      <c r="E10" s="23">
        <f>SUM(E11:E11)</f>
        <v>0.07581624829717598</v>
      </c>
      <c r="F10" s="21"/>
      <c r="G10" s="108"/>
    </row>
    <row r="11" spans="1:6" ht="60">
      <c r="A11" s="15">
        <v>3</v>
      </c>
      <c r="B11" s="22" t="s">
        <v>19</v>
      </c>
      <c r="C11" s="22" t="s">
        <v>18</v>
      </c>
      <c r="D11" s="17">
        <f>E11*12*$D$2</f>
        <v>66.41503350832616</v>
      </c>
      <c r="E11" s="17">
        <v>0.07581624829717598</v>
      </c>
      <c r="F11" s="2"/>
    </row>
    <row r="12" spans="1:6" ht="15">
      <c r="A12" s="145" t="s">
        <v>67</v>
      </c>
      <c r="B12" s="146"/>
      <c r="C12" s="146"/>
      <c r="D12" s="24">
        <f>SUM(D13:D14)</f>
        <v>266.47549480648735</v>
      </c>
      <c r="E12" s="24">
        <f>SUM(E13:E14)</f>
        <v>0.3041957703270403</v>
      </c>
      <c r="F12" s="2"/>
    </row>
    <row r="13" spans="1:6" ht="60">
      <c r="A13" s="15">
        <v>4</v>
      </c>
      <c r="B13" s="22" t="s">
        <v>86</v>
      </c>
      <c r="C13" s="22" t="s">
        <v>18</v>
      </c>
      <c r="D13" s="17">
        <f>E13*12*$D$2</f>
        <v>13.484540522699294</v>
      </c>
      <c r="E13" s="17">
        <v>0.015393311098971798</v>
      </c>
      <c r="F13" s="2"/>
    </row>
    <row r="14" spans="1:6" ht="60">
      <c r="A14" s="15">
        <v>5</v>
      </c>
      <c r="B14" s="22" t="s">
        <v>22</v>
      </c>
      <c r="C14" s="22" t="s">
        <v>87</v>
      </c>
      <c r="D14" s="17">
        <f>E14*12*$D$2</f>
        <v>252.99095428378803</v>
      </c>
      <c r="E14" s="20">
        <v>0.2888024592280685</v>
      </c>
      <c r="F14" s="2"/>
    </row>
    <row r="15" spans="1:6" ht="15">
      <c r="A15" s="145" t="s">
        <v>70</v>
      </c>
      <c r="B15" s="145"/>
      <c r="C15" s="145"/>
      <c r="D15" s="25">
        <f>SUM(D16)</f>
        <v>173.78405173356657</v>
      </c>
      <c r="E15" s="25">
        <f>SUM(E16)</f>
        <v>0.19838362070041846</v>
      </c>
      <c r="F15" s="2"/>
    </row>
    <row r="16" spans="1:6" ht="15">
      <c r="A16" s="15">
        <v>6</v>
      </c>
      <c r="B16" s="22" t="s">
        <v>25</v>
      </c>
      <c r="C16" s="22" t="s">
        <v>26</v>
      </c>
      <c r="D16" s="17">
        <f>E16*12*$D$2</f>
        <v>173.78405173356657</v>
      </c>
      <c r="E16" s="26">
        <v>0.19838362070041846</v>
      </c>
      <c r="F16" s="2"/>
    </row>
    <row r="17" spans="1:6" ht="15">
      <c r="A17" s="9"/>
      <c r="B17" s="27" t="s">
        <v>27</v>
      </c>
      <c r="C17" s="27"/>
      <c r="D17" s="48">
        <f>D7+D10+D12+D15</f>
        <v>1098.788052973669</v>
      </c>
      <c r="E17" s="12">
        <f>E7+E10+E12+E15</f>
        <v>1.2543242613854668</v>
      </c>
      <c r="F17" s="6"/>
    </row>
    <row r="18" spans="1:6" ht="15">
      <c r="A18" s="29"/>
      <c r="B18" s="30"/>
      <c r="C18" s="31"/>
      <c r="D18" s="128"/>
      <c r="E18" s="64"/>
      <c r="F18" s="2"/>
    </row>
    <row r="19" spans="1:6" ht="15">
      <c r="A19" s="34"/>
      <c r="B19" s="34"/>
      <c r="C19" s="34"/>
      <c r="D19" s="34"/>
      <c r="E19" s="34"/>
      <c r="F19" s="35"/>
    </row>
    <row r="20" spans="1:6" ht="105">
      <c r="A20" s="11" t="s">
        <v>28</v>
      </c>
      <c r="B20" s="11" t="s">
        <v>29</v>
      </c>
      <c r="C20" s="11" t="s">
        <v>30</v>
      </c>
      <c r="D20" s="11" t="s">
        <v>31</v>
      </c>
      <c r="E20" s="11" t="s">
        <v>32</v>
      </c>
      <c r="F20" s="11" t="s">
        <v>33</v>
      </c>
    </row>
    <row r="21" spans="1:6" ht="15">
      <c r="A21" s="11">
        <v>1</v>
      </c>
      <c r="B21" s="8" t="s">
        <v>471</v>
      </c>
      <c r="C21" s="11" t="s">
        <v>81</v>
      </c>
      <c r="D21" s="11">
        <v>1908.5</v>
      </c>
      <c r="E21" s="37">
        <f>D21/12/$D$2</f>
        <v>2.1786529680365296</v>
      </c>
      <c r="F21" s="38">
        <v>2</v>
      </c>
    </row>
    <row r="22" spans="1:6" ht="15">
      <c r="A22" s="11"/>
      <c r="B22" s="39" t="s">
        <v>36</v>
      </c>
      <c r="C22" s="10"/>
      <c r="D22" s="54">
        <f>SUM(D21:D21)</f>
        <v>1908.5</v>
      </c>
      <c r="E22" s="40">
        <f>SUM(E21:E21)</f>
        <v>2.1786529680365296</v>
      </c>
      <c r="F22" s="41"/>
    </row>
    <row r="23" spans="1:6" ht="15">
      <c r="A23" s="29"/>
      <c r="B23" s="30"/>
      <c r="C23" s="42"/>
      <c r="D23" s="42"/>
      <c r="E23" s="42"/>
      <c r="F23" s="42"/>
    </row>
    <row r="24" spans="1:6" ht="29.25">
      <c r="A24" s="29"/>
      <c r="B24" s="30" t="s">
        <v>37</v>
      </c>
      <c r="C24" s="43">
        <f>D17+D22</f>
        <v>3007.288052973669</v>
      </c>
      <c r="D24" s="43"/>
      <c r="E24" s="43"/>
      <c r="F24" s="42"/>
    </row>
    <row r="25" spans="1:6" ht="15">
      <c r="A25" s="29"/>
      <c r="B25" s="30" t="s">
        <v>38</v>
      </c>
      <c r="C25" s="44">
        <f>E17+E22</f>
        <v>3.4329772294219962</v>
      </c>
      <c r="D25" s="42"/>
      <c r="E25" s="42"/>
      <c r="F25" s="42"/>
    </row>
    <row r="26" spans="1:6" ht="15">
      <c r="A26" s="29"/>
      <c r="B26" s="30"/>
      <c r="C26" s="44"/>
      <c r="D26" s="42"/>
      <c r="E26" s="42"/>
      <c r="F26" s="42"/>
    </row>
    <row r="27" spans="1:6" ht="110.25" customHeight="1">
      <c r="A27" s="2"/>
      <c r="B27" s="2"/>
      <c r="C27" s="2"/>
      <c r="D27" s="2"/>
      <c r="E27" s="2"/>
      <c r="F27" s="2"/>
    </row>
    <row r="28" spans="1:6" ht="33" customHeight="1">
      <c r="A28" s="138" t="s">
        <v>39</v>
      </c>
      <c r="B28" s="138"/>
      <c r="C28" s="138"/>
      <c r="D28" s="138"/>
      <c r="E28" s="138"/>
      <c r="F28" s="138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4</v>
      </c>
      <c r="C30" s="9" t="s">
        <v>5</v>
      </c>
      <c r="D30" s="9" t="s">
        <v>6</v>
      </c>
      <c r="E30" s="9" t="s">
        <v>7</v>
      </c>
      <c r="F30" s="2"/>
    </row>
    <row r="31" spans="1:5" ht="15">
      <c r="A31" s="139" t="s">
        <v>40</v>
      </c>
      <c r="B31" s="139"/>
      <c r="C31" s="139"/>
      <c r="D31" s="12">
        <f>D32</f>
        <v>8.76</v>
      </c>
      <c r="E31" s="12">
        <f>E32</f>
        <v>0.01</v>
      </c>
    </row>
    <row r="32" spans="1:5" ht="30">
      <c r="A32" s="15">
        <v>1</v>
      </c>
      <c r="B32" s="45" t="s">
        <v>41</v>
      </c>
      <c r="C32" s="45" t="s">
        <v>213</v>
      </c>
      <c r="D32" s="17">
        <f>E32*12*$D$2</f>
        <v>8.76</v>
      </c>
      <c r="E32" s="46">
        <v>0.01</v>
      </c>
    </row>
    <row r="33" spans="1:5" ht="32.25" customHeight="1">
      <c r="A33" s="139" t="s">
        <v>43</v>
      </c>
      <c r="B33" s="139"/>
      <c r="C33" s="139"/>
      <c r="D33" s="12">
        <f>D34+D35</f>
        <v>70.08</v>
      </c>
      <c r="E33" s="12">
        <f>E34+E35</f>
        <v>0.08</v>
      </c>
    </row>
    <row r="34" spans="1:5" ht="28.5" customHeight="1">
      <c r="A34" s="15">
        <v>2</v>
      </c>
      <c r="B34" s="45" t="s">
        <v>44</v>
      </c>
      <c r="C34" s="45" t="s">
        <v>45</v>
      </c>
      <c r="D34" s="17">
        <f>E34*$D$2*12</f>
        <v>17.52</v>
      </c>
      <c r="E34" s="46">
        <v>0.02</v>
      </c>
    </row>
    <row r="35" spans="1:5" ht="15">
      <c r="A35" s="15">
        <v>3</v>
      </c>
      <c r="B35" s="47" t="s">
        <v>46</v>
      </c>
      <c r="C35" s="8" t="s">
        <v>213</v>
      </c>
      <c r="D35" s="17">
        <f>E35*$D$2*12</f>
        <v>52.56</v>
      </c>
      <c r="E35" s="18">
        <v>0.06</v>
      </c>
    </row>
    <row r="36" spans="1:6" ht="15">
      <c r="A36" s="9"/>
      <c r="B36" s="27" t="s">
        <v>27</v>
      </c>
      <c r="C36" s="27"/>
      <c r="D36" s="48">
        <f>D31+D33</f>
        <v>78.84</v>
      </c>
      <c r="E36" s="12">
        <f>E31+E33</f>
        <v>0.09</v>
      </c>
      <c r="F36" s="6"/>
    </row>
    <row r="37" spans="1:6" ht="15">
      <c r="A37" s="2"/>
      <c r="B37" s="2"/>
      <c r="C37" s="2"/>
      <c r="D37" s="2"/>
      <c r="E37" s="2"/>
      <c r="F37" s="2"/>
    </row>
    <row r="38" spans="2:3" ht="29.25">
      <c r="B38" s="30" t="s">
        <v>477</v>
      </c>
      <c r="C38" s="43">
        <v>3007.288052973669</v>
      </c>
    </row>
  </sheetData>
  <sheetProtection/>
  <mergeCells count="8">
    <mergeCell ref="A4:E4"/>
    <mergeCell ref="A28:F28"/>
    <mergeCell ref="A31:C31"/>
    <mergeCell ref="A33:C33"/>
    <mergeCell ref="A7:C7"/>
    <mergeCell ref="A10:C10"/>
    <mergeCell ref="A12:C12"/>
    <mergeCell ref="A15:C15"/>
  </mergeCells>
  <printOptions/>
  <pageMargins left="0.2755905511811024" right="0.3937007874015748" top="0.2755905511811024" bottom="0.2755905511811024" header="0" footer="0"/>
  <pageSetup horizontalDpi="600" verticalDpi="600" orientation="portrait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45"/>
  <sheetViews>
    <sheetView zoomScale="97" zoomScaleNormal="97" workbookViewId="0" topLeftCell="A25">
      <selection activeCell="D28" sqref="D2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38" t="s">
        <v>90</v>
      </c>
      <c r="B1" s="138"/>
      <c r="C1" s="138"/>
      <c r="D1" s="138"/>
      <c r="E1" s="138"/>
      <c r="F1" s="2"/>
    </row>
    <row r="2" spans="1:6" ht="39" customHeight="1">
      <c r="A2" s="2"/>
      <c r="B2" s="1" t="s">
        <v>91</v>
      </c>
      <c r="C2" s="4"/>
      <c r="D2" s="5">
        <v>138.7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1184.2269458505789</v>
      </c>
      <c r="E7" s="12">
        <f>SUM(E8:E9)</f>
        <v>0.7115038126956134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1083.4647263042807</v>
      </c>
      <c r="E8" s="20">
        <v>0.650964147022519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100.76221954629816</v>
      </c>
      <c r="E9" s="17">
        <v>0.06053966567309431</v>
      </c>
      <c r="F9" s="21"/>
    </row>
    <row r="10" spans="1:6" ht="15">
      <c r="A10" s="140" t="s">
        <v>64</v>
      </c>
      <c r="B10" s="143"/>
      <c r="C10" s="144"/>
      <c r="D10" s="23">
        <f>SUM(D11:D11)</f>
        <v>57.7281078404893</v>
      </c>
      <c r="E10" s="23">
        <f>SUM(E11:E11)</f>
        <v>0.034684034991882544</v>
      </c>
      <c r="F10" s="21"/>
    </row>
    <row r="11" spans="1:6" ht="60">
      <c r="A11" s="15">
        <v>3</v>
      </c>
      <c r="B11" s="22" t="s">
        <v>19</v>
      </c>
      <c r="C11" s="22" t="s">
        <v>18</v>
      </c>
      <c r="D11" s="17">
        <f>E11*12*$D$2</f>
        <v>57.7281078404893</v>
      </c>
      <c r="E11" s="17">
        <v>0.034684034991882544</v>
      </c>
      <c r="F11" s="2"/>
    </row>
    <row r="12" spans="1:6" ht="15">
      <c r="A12" s="145" t="s">
        <v>67</v>
      </c>
      <c r="B12" s="146"/>
      <c r="C12" s="146"/>
      <c r="D12" s="24">
        <f>SUM(D13:D14)</f>
        <v>492.040838309927</v>
      </c>
      <c r="E12" s="24">
        <f>SUM(E13:E14)</f>
        <v>0.2956265551008934</v>
      </c>
      <c r="F12" s="2"/>
    </row>
    <row r="13" spans="1:6" ht="60">
      <c r="A13" s="15">
        <v>4</v>
      </c>
      <c r="B13" s="22" t="s">
        <v>86</v>
      </c>
      <c r="C13" s="22" t="s">
        <v>18</v>
      </c>
      <c r="D13" s="17">
        <f>E13*12*$D$2</f>
        <v>54.72949759282037</v>
      </c>
      <c r="E13" s="17">
        <v>0.03288241864504949</v>
      </c>
      <c r="F13" s="2"/>
    </row>
    <row r="14" spans="1:6" ht="60">
      <c r="A14" s="15">
        <v>5</v>
      </c>
      <c r="B14" s="22" t="s">
        <v>22</v>
      </c>
      <c r="C14" s="22" t="s">
        <v>87</v>
      </c>
      <c r="D14" s="17">
        <f>E14*12*$D$2</f>
        <v>437.3113407171066</v>
      </c>
      <c r="E14" s="20">
        <v>0.26274413645584394</v>
      </c>
      <c r="F14" s="2"/>
    </row>
    <row r="15" spans="1:6" ht="15">
      <c r="A15" s="145" t="s">
        <v>70</v>
      </c>
      <c r="B15" s="145"/>
      <c r="C15" s="145"/>
      <c r="D15" s="25">
        <f>SUM(D16)</f>
        <v>266.2161836511716</v>
      </c>
      <c r="E15" s="25">
        <f>SUM(E16)</f>
        <v>0.15994723843497452</v>
      </c>
      <c r="F15" s="2"/>
    </row>
    <row r="16" spans="1:6" ht="15">
      <c r="A16" s="15">
        <v>6</v>
      </c>
      <c r="B16" s="22" t="s">
        <v>25</v>
      </c>
      <c r="C16" s="22" t="s">
        <v>26</v>
      </c>
      <c r="D16" s="17">
        <f>E16*12*$D$2</f>
        <v>266.2161836511716</v>
      </c>
      <c r="E16" s="26">
        <v>0.15994723843497452</v>
      </c>
      <c r="F16" s="2"/>
    </row>
    <row r="17" spans="1:6" ht="15">
      <c r="A17" s="9"/>
      <c r="B17" s="27" t="s">
        <v>27</v>
      </c>
      <c r="C17" s="27"/>
      <c r="D17" s="48">
        <f>D7+D10+D12+D15</f>
        <v>2000.2120756521667</v>
      </c>
      <c r="E17" s="12">
        <f>E7+E10+E12+E15</f>
        <v>1.2017616412233638</v>
      </c>
      <c r="F17" s="6"/>
    </row>
    <row r="18" spans="1:6" ht="15">
      <c r="A18" s="29"/>
      <c r="B18" s="30"/>
      <c r="C18" s="31"/>
      <c r="D18" s="32"/>
      <c r="E18" s="33"/>
      <c r="F18" s="2"/>
    </row>
    <row r="19" spans="1:6" ht="15">
      <c r="A19" s="34"/>
      <c r="B19" s="34"/>
      <c r="C19" s="34"/>
      <c r="D19" s="34"/>
      <c r="E19" s="34"/>
      <c r="F19" s="35"/>
    </row>
    <row r="20" spans="1:6" ht="105">
      <c r="A20" s="11" t="s">
        <v>28</v>
      </c>
      <c r="B20" s="11" t="s">
        <v>29</v>
      </c>
      <c r="C20" s="11" t="s">
        <v>30</v>
      </c>
      <c r="D20" s="11" t="s">
        <v>31</v>
      </c>
      <c r="E20" s="11" t="s">
        <v>32</v>
      </c>
      <c r="F20" s="11" t="s">
        <v>33</v>
      </c>
    </row>
    <row r="21" spans="1:6" ht="15">
      <c r="A21" s="11">
        <v>1</v>
      </c>
      <c r="B21" s="8" t="s">
        <v>34</v>
      </c>
      <c r="C21" s="11" t="s">
        <v>92</v>
      </c>
      <c r="D21" s="49">
        <v>3625.6</v>
      </c>
      <c r="E21" s="37">
        <f>D21/12/$D$2</f>
        <v>2.1783225186253308</v>
      </c>
      <c r="F21" s="38">
        <v>1</v>
      </c>
    </row>
    <row r="22" spans="1:6" ht="15">
      <c r="A22" s="11"/>
      <c r="B22" s="39" t="s">
        <v>36</v>
      </c>
      <c r="C22" s="10"/>
      <c r="D22" s="54">
        <f>SUM(D21:D21)</f>
        <v>3625.6</v>
      </c>
      <c r="E22" s="40">
        <f>SUM(E21:E21)</f>
        <v>2.1783225186253308</v>
      </c>
      <c r="F22" s="41"/>
    </row>
    <row r="23" spans="1:6" ht="15">
      <c r="A23" s="29"/>
      <c r="B23" s="30"/>
      <c r="C23" s="42"/>
      <c r="D23" s="42"/>
      <c r="E23" s="42"/>
      <c r="F23" s="42"/>
    </row>
    <row r="24" spans="1:6" ht="15">
      <c r="A24" s="29"/>
      <c r="B24" s="30"/>
      <c r="C24" s="42"/>
      <c r="D24" s="42"/>
      <c r="E24" s="42"/>
      <c r="F24" s="42"/>
    </row>
    <row r="25" spans="1:6" ht="15">
      <c r="A25" s="29"/>
      <c r="B25" s="30"/>
      <c r="C25" s="42"/>
      <c r="D25" s="42"/>
      <c r="E25" s="42"/>
      <c r="F25" s="42"/>
    </row>
    <row r="26" spans="1:6" ht="29.25">
      <c r="A26" s="29"/>
      <c r="B26" s="30" t="s">
        <v>37</v>
      </c>
      <c r="C26" s="43">
        <f>D17+D22</f>
        <v>5625.812075652167</v>
      </c>
      <c r="D26" s="43"/>
      <c r="E26" s="43"/>
      <c r="F26" s="42"/>
    </row>
    <row r="27" spans="1:6" ht="15">
      <c r="A27" s="29"/>
      <c r="B27" s="30" t="s">
        <v>38</v>
      </c>
      <c r="C27" s="44">
        <f>E17+E22</f>
        <v>3.3800841598486944</v>
      </c>
      <c r="D27" s="42"/>
      <c r="E27" s="42"/>
      <c r="F27" s="42"/>
    </row>
    <row r="28" spans="1:6" ht="57.75" customHeight="1">
      <c r="A28" s="2"/>
      <c r="B28" s="2"/>
      <c r="C28" s="2"/>
      <c r="D28" s="2"/>
      <c r="E28" s="2"/>
      <c r="F28" s="2"/>
    </row>
    <row r="29" spans="1:6" ht="33" customHeight="1">
      <c r="A29" s="138" t="s">
        <v>39</v>
      </c>
      <c r="B29" s="138"/>
      <c r="C29" s="138"/>
      <c r="D29" s="138"/>
      <c r="E29" s="138"/>
      <c r="F29" s="13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4</v>
      </c>
      <c r="C31" s="9" t="s">
        <v>5</v>
      </c>
      <c r="D31" s="9" t="s">
        <v>6</v>
      </c>
      <c r="E31" s="9" t="s">
        <v>7</v>
      </c>
      <c r="F31" s="2"/>
    </row>
    <row r="32" spans="1:5" ht="31.5" customHeight="1">
      <c r="A32" s="139" t="s">
        <v>40</v>
      </c>
      <c r="B32" s="139"/>
      <c r="C32" s="139"/>
      <c r="D32" s="12">
        <f>D33</f>
        <v>16.644</v>
      </c>
      <c r="E32" s="12">
        <f>E33</f>
        <v>0.01</v>
      </c>
    </row>
    <row r="33" spans="1:5" ht="30">
      <c r="A33" s="15">
        <v>1</v>
      </c>
      <c r="B33" s="45" t="s">
        <v>41</v>
      </c>
      <c r="C33" s="45" t="s">
        <v>42</v>
      </c>
      <c r="D33" s="17">
        <f>E33*12*$D$2</f>
        <v>16.644</v>
      </c>
      <c r="E33" s="46">
        <v>0.01</v>
      </c>
    </row>
    <row r="34" spans="1:5" ht="32.25" customHeight="1">
      <c r="A34" s="139" t="s">
        <v>43</v>
      </c>
      <c r="B34" s="139"/>
      <c r="C34" s="139"/>
      <c r="D34" s="12">
        <f>D35+D36</f>
        <v>133.152</v>
      </c>
      <c r="E34" s="12">
        <f>E35+E36</f>
        <v>0.08</v>
      </c>
    </row>
    <row r="35" spans="1:5" ht="28.5" customHeight="1">
      <c r="A35" s="15">
        <v>2</v>
      </c>
      <c r="B35" s="45" t="s">
        <v>44</v>
      </c>
      <c r="C35" s="45" t="s">
        <v>45</v>
      </c>
      <c r="D35" s="17">
        <f>E35*$D$2*12</f>
        <v>33.288</v>
      </c>
      <c r="E35" s="46">
        <v>0.02</v>
      </c>
    </row>
    <row r="36" spans="1:5" ht="15">
      <c r="A36" s="15">
        <v>3</v>
      </c>
      <c r="B36" s="47" t="s">
        <v>46</v>
      </c>
      <c r="C36" s="8" t="s">
        <v>42</v>
      </c>
      <c r="D36" s="17">
        <f>E36*$D$2*12</f>
        <v>99.86399999999999</v>
      </c>
      <c r="E36" s="18">
        <v>0.06</v>
      </c>
    </row>
    <row r="37" spans="1:6" ht="15">
      <c r="A37" s="9"/>
      <c r="B37" s="27" t="s">
        <v>27</v>
      </c>
      <c r="C37" s="27"/>
      <c r="D37" s="48">
        <f>D32+D34</f>
        <v>149.796</v>
      </c>
      <c r="E37" s="12">
        <f>E32+E34</f>
        <v>0.09</v>
      </c>
      <c r="F37" s="6"/>
    </row>
    <row r="38" spans="1:6" ht="15">
      <c r="A38" s="2"/>
      <c r="B38" s="2"/>
      <c r="C38" s="2"/>
      <c r="D38" s="2"/>
      <c r="E38" s="2"/>
      <c r="F38" s="2"/>
    </row>
    <row r="39" spans="1:6" ht="15">
      <c r="A39" s="34"/>
      <c r="B39" s="34"/>
      <c r="C39" s="34"/>
      <c r="D39" s="34"/>
      <c r="E39" s="34"/>
      <c r="F39" s="35"/>
    </row>
    <row r="40" spans="1:6" ht="105">
      <c r="A40" s="11" t="s">
        <v>28</v>
      </c>
      <c r="B40" s="11" t="s">
        <v>29</v>
      </c>
      <c r="C40" s="11" t="s">
        <v>30</v>
      </c>
      <c r="D40" s="11" t="s">
        <v>31</v>
      </c>
      <c r="E40" s="11" t="s">
        <v>47</v>
      </c>
      <c r="F40" s="11" t="s">
        <v>33</v>
      </c>
    </row>
    <row r="41" spans="1:6" ht="15">
      <c r="A41" s="11">
        <v>1</v>
      </c>
      <c r="B41" s="8" t="s">
        <v>34</v>
      </c>
      <c r="C41" s="11" t="s">
        <v>48</v>
      </c>
      <c r="D41" s="36">
        <v>824</v>
      </c>
      <c r="E41" s="50">
        <f>D41/12/$D$2</f>
        <v>0.4950732996875752</v>
      </c>
      <c r="F41" s="38">
        <v>1</v>
      </c>
    </row>
    <row r="42" spans="1:6" ht="15">
      <c r="A42" s="51"/>
      <c r="B42" s="51" t="s">
        <v>36</v>
      </c>
      <c r="C42" s="51"/>
      <c r="D42" s="52">
        <f>SUM(D41:D41)</f>
        <v>824</v>
      </c>
      <c r="E42" s="53">
        <f>SUM(E41:E41)</f>
        <v>0.4950732996875752</v>
      </c>
      <c r="F42" s="51"/>
    </row>
    <row r="44" spans="2:3" ht="31.5" customHeight="1">
      <c r="B44" s="30" t="s">
        <v>486</v>
      </c>
      <c r="C44" s="81">
        <v>5625.812075652167</v>
      </c>
    </row>
    <row r="45" spans="2:3" ht="15">
      <c r="B45" s="30" t="s">
        <v>38</v>
      </c>
      <c r="C45" s="152">
        <v>3.3800841598486944</v>
      </c>
    </row>
  </sheetData>
  <mergeCells count="9">
    <mergeCell ref="A7:C7"/>
    <mergeCell ref="A12:C12"/>
    <mergeCell ref="A10:C10"/>
    <mergeCell ref="A1:E1"/>
    <mergeCell ref="A4:E4"/>
    <mergeCell ref="A34:C34"/>
    <mergeCell ref="A15:C15"/>
    <mergeCell ref="A29:F29"/>
    <mergeCell ref="A32:C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41"/>
  <sheetViews>
    <sheetView zoomScale="97" zoomScaleNormal="97" workbookViewId="0" topLeftCell="A4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38" t="s">
        <v>93</v>
      </c>
      <c r="B1" s="138"/>
      <c r="C1" s="138"/>
      <c r="D1" s="138"/>
      <c r="E1" s="138"/>
      <c r="F1" s="2"/>
    </row>
    <row r="2" spans="1:6" ht="39" customHeight="1">
      <c r="A2" s="2"/>
      <c r="B2" s="1" t="s">
        <v>94</v>
      </c>
      <c r="C2" s="4"/>
      <c r="D2" s="5">
        <v>49.4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888.1702093879323</v>
      </c>
      <c r="E7" s="12">
        <f>SUM(E8:E9)</f>
        <v>1.4982628363494135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812.5985447282087</v>
      </c>
      <c r="E8" s="20">
        <v>1.3707802711339552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75.57166465972364</v>
      </c>
      <c r="E9" s="17">
        <v>0.12748256521545823</v>
      </c>
      <c r="F9" s="21"/>
    </row>
    <row r="10" spans="1:6" ht="15">
      <c r="A10" s="140" t="s">
        <v>64</v>
      </c>
      <c r="B10" s="143"/>
      <c r="C10" s="144"/>
      <c r="D10" s="23">
        <f>SUM(D11:D11)</f>
        <v>38.485405226992896</v>
      </c>
      <c r="E10" s="23">
        <f>SUM(E11:E11)</f>
        <v>0.06492139883095967</v>
      </c>
      <c r="F10" s="21"/>
    </row>
    <row r="11" spans="1:6" ht="60">
      <c r="A11" s="15">
        <v>3</v>
      </c>
      <c r="B11" s="22" t="s">
        <v>19</v>
      </c>
      <c r="C11" s="22" t="s">
        <v>18</v>
      </c>
      <c r="D11" s="17">
        <f>E11*12*$D$2</f>
        <v>38.485405226992896</v>
      </c>
      <c r="E11" s="17">
        <v>0.06492139883095967</v>
      </c>
      <c r="F11" s="2"/>
    </row>
    <row r="12" spans="1:6" ht="15">
      <c r="A12" s="145" t="s">
        <v>67</v>
      </c>
      <c r="B12" s="146"/>
      <c r="C12" s="146"/>
      <c r="D12" s="24">
        <f>SUM(D13:D14)</f>
        <v>693.3545548745981</v>
      </c>
      <c r="E12" s="24">
        <f>SUM(E13:E14)</f>
        <v>1.1696264420961506</v>
      </c>
      <c r="F12" s="2"/>
    </row>
    <row r="13" spans="1:6" ht="60">
      <c r="A13" s="15">
        <v>4</v>
      </c>
      <c r="B13" s="22" t="s">
        <v>21</v>
      </c>
      <c r="C13" s="22" t="s">
        <v>18</v>
      </c>
      <c r="D13" s="17">
        <f>E13*12*$D$2</f>
        <v>21.907532722376224</v>
      </c>
      <c r="E13" s="17">
        <v>0.03695602685960902</v>
      </c>
      <c r="F13" s="2"/>
    </row>
    <row r="14" spans="1:6" ht="75">
      <c r="A14" s="15">
        <v>5</v>
      </c>
      <c r="B14" s="22" t="s">
        <v>22</v>
      </c>
      <c r="C14" s="22" t="s">
        <v>23</v>
      </c>
      <c r="D14" s="17">
        <f>E14*12*$D$2</f>
        <v>671.4470221522218</v>
      </c>
      <c r="E14" s="20">
        <v>1.1326704152365417</v>
      </c>
      <c r="F14" s="2"/>
    </row>
    <row r="15" spans="1:6" ht="15">
      <c r="A15" s="145" t="s">
        <v>70</v>
      </c>
      <c r="B15" s="145"/>
      <c r="C15" s="145"/>
      <c r="D15" s="25">
        <f>SUM(D16)</f>
        <v>182.31018227024973</v>
      </c>
      <c r="E15" s="25">
        <f>SUM(E16)</f>
        <v>0.30754079330339024</v>
      </c>
      <c r="F15" s="2"/>
    </row>
    <row r="16" spans="1:6" ht="15">
      <c r="A16" s="15">
        <v>6</v>
      </c>
      <c r="B16" s="22" t="s">
        <v>25</v>
      </c>
      <c r="C16" s="22" t="s">
        <v>26</v>
      </c>
      <c r="D16" s="17">
        <f>E16*12*$D$2</f>
        <v>182.31018227024973</v>
      </c>
      <c r="E16" s="26">
        <v>0.30754079330339024</v>
      </c>
      <c r="F16" s="2"/>
    </row>
    <row r="17" spans="1:6" ht="15">
      <c r="A17" s="9"/>
      <c r="B17" s="27" t="s">
        <v>27</v>
      </c>
      <c r="C17" s="27"/>
      <c r="D17" s="76">
        <f>D7+D10+D12+D15</f>
        <v>1802.320351759773</v>
      </c>
      <c r="E17" s="28">
        <f>E7+E10+E12+E15</f>
        <v>3.040351470579914</v>
      </c>
      <c r="F17" s="6"/>
    </row>
    <row r="18" spans="1:6" ht="15">
      <c r="A18" s="29"/>
      <c r="B18" s="30"/>
      <c r="C18" s="31"/>
      <c r="D18" s="32"/>
      <c r="E18" s="33"/>
      <c r="F18" s="2"/>
    </row>
    <row r="19" spans="1:6" ht="15">
      <c r="A19" s="34"/>
      <c r="B19" s="34"/>
      <c r="C19" s="34"/>
      <c r="D19" s="34"/>
      <c r="E19" s="34"/>
      <c r="F19" s="35"/>
    </row>
    <row r="20" spans="1:6" ht="105">
      <c r="A20" s="11" t="s">
        <v>28</v>
      </c>
      <c r="B20" s="11" t="s">
        <v>29</v>
      </c>
      <c r="C20" s="11" t="s">
        <v>30</v>
      </c>
      <c r="D20" s="11" t="s">
        <v>31</v>
      </c>
      <c r="E20" s="11" t="s">
        <v>32</v>
      </c>
      <c r="F20" s="11" t="s">
        <v>33</v>
      </c>
    </row>
    <row r="21" spans="1:6" ht="15">
      <c r="A21" s="11">
        <v>1</v>
      </c>
      <c r="B21" s="8" t="s">
        <v>34</v>
      </c>
      <c r="C21" s="11" t="s">
        <v>95</v>
      </c>
      <c r="D21" s="49">
        <v>1291.39</v>
      </c>
      <c r="E21" s="37">
        <f>D21/12/$D$2</f>
        <v>2.1784581646423753</v>
      </c>
      <c r="F21" s="38">
        <v>1</v>
      </c>
    </row>
    <row r="22" spans="1:6" ht="15">
      <c r="A22" s="11"/>
      <c r="B22" s="39" t="s">
        <v>36</v>
      </c>
      <c r="C22" s="10"/>
      <c r="D22" s="54">
        <f>SUM(D21:D21)</f>
        <v>1291.39</v>
      </c>
      <c r="E22" s="40">
        <f>SUM(E21:E21)</f>
        <v>2.1784581646423753</v>
      </c>
      <c r="F22" s="41"/>
    </row>
    <row r="23" spans="1:6" ht="15">
      <c r="A23" s="29"/>
      <c r="B23" s="30"/>
      <c r="C23" s="42"/>
      <c r="D23" s="42"/>
      <c r="E23" s="42"/>
      <c r="F23" s="42"/>
    </row>
    <row r="24" spans="1:6" ht="29.25">
      <c r="A24" s="29"/>
      <c r="B24" s="30" t="s">
        <v>37</v>
      </c>
      <c r="C24" s="43">
        <f>D17+D22</f>
        <v>3093.7103517597734</v>
      </c>
      <c r="D24" s="43"/>
      <c r="E24" s="43"/>
      <c r="F24" s="42"/>
    </row>
    <row r="25" spans="1:6" ht="15">
      <c r="A25" s="29"/>
      <c r="B25" s="30" t="s">
        <v>38</v>
      </c>
      <c r="C25" s="44">
        <f>E17+E22</f>
        <v>5.218809635222289</v>
      </c>
      <c r="D25" s="42"/>
      <c r="E25" s="42"/>
      <c r="F25" s="42"/>
    </row>
    <row r="26" spans="1:6" ht="15">
      <c r="A26" s="2"/>
      <c r="B26" s="2"/>
      <c r="C26" s="2"/>
      <c r="D26" s="2"/>
      <c r="E26" s="2"/>
      <c r="F26" s="2"/>
    </row>
    <row r="27" spans="1:6" ht="60.75" customHeight="1">
      <c r="A27" s="2"/>
      <c r="B27" s="2"/>
      <c r="C27" s="2"/>
      <c r="D27" s="2"/>
      <c r="E27" s="2"/>
      <c r="F27" s="2"/>
    </row>
    <row r="28" spans="1:6" ht="33" customHeight="1">
      <c r="A28" s="138" t="s">
        <v>39</v>
      </c>
      <c r="B28" s="138"/>
      <c r="C28" s="138"/>
      <c r="D28" s="138"/>
      <c r="E28" s="138"/>
      <c r="F28" s="138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4</v>
      </c>
      <c r="C30" s="9" t="s">
        <v>5</v>
      </c>
      <c r="D30" s="9" t="s">
        <v>6</v>
      </c>
      <c r="E30" s="9" t="s">
        <v>7</v>
      </c>
      <c r="F30" s="2"/>
    </row>
    <row r="31" spans="1:5" ht="31.5" customHeight="1">
      <c r="A31" s="139" t="s">
        <v>40</v>
      </c>
      <c r="B31" s="139"/>
      <c r="C31" s="139"/>
      <c r="D31" s="12">
        <f>D32</f>
        <v>5.928</v>
      </c>
      <c r="E31" s="12">
        <f>E32</f>
        <v>0.01</v>
      </c>
    </row>
    <row r="32" spans="1:5" ht="30">
      <c r="A32" s="15">
        <v>1</v>
      </c>
      <c r="B32" s="45" t="s">
        <v>41</v>
      </c>
      <c r="C32" s="45" t="s">
        <v>42</v>
      </c>
      <c r="D32" s="17">
        <f>E32*12*$D$2</f>
        <v>5.928</v>
      </c>
      <c r="E32" s="46">
        <v>0.01</v>
      </c>
    </row>
    <row r="33" spans="1:5" ht="32.25" customHeight="1">
      <c r="A33" s="139" t="s">
        <v>43</v>
      </c>
      <c r="B33" s="139"/>
      <c r="C33" s="139"/>
      <c r="D33" s="12">
        <f>D34+D35</f>
        <v>47.424</v>
      </c>
      <c r="E33" s="12">
        <f>E34+E35</f>
        <v>0.08</v>
      </c>
    </row>
    <row r="34" spans="1:5" ht="45.75" customHeight="1">
      <c r="A34" s="15">
        <v>2</v>
      </c>
      <c r="B34" s="45" t="s">
        <v>44</v>
      </c>
      <c r="C34" s="45" t="s">
        <v>45</v>
      </c>
      <c r="D34" s="17">
        <f>E34*$D$2*12</f>
        <v>11.856</v>
      </c>
      <c r="E34" s="46">
        <v>0.02</v>
      </c>
    </row>
    <row r="35" spans="1:5" ht="15">
      <c r="A35" s="15">
        <v>3</v>
      </c>
      <c r="B35" s="47" t="s">
        <v>46</v>
      </c>
      <c r="C35" s="8" t="s">
        <v>42</v>
      </c>
      <c r="D35" s="17">
        <f>E35*$D$2*12</f>
        <v>35.568</v>
      </c>
      <c r="E35" s="18">
        <v>0.06</v>
      </c>
    </row>
    <row r="36" spans="1:6" ht="15">
      <c r="A36" s="9"/>
      <c r="B36" s="27" t="s">
        <v>27</v>
      </c>
      <c r="C36" s="27"/>
      <c r="D36" s="48">
        <f>D31+D33</f>
        <v>53.352</v>
      </c>
      <c r="E36" s="12">
        <f>E31+E33</f>
        <v>0.09</v>
      </c>
      <c r="F36" s="6"/>
    </row>
    <row r="37" spans="1:6" ht="15">
      <c r="A37" s="2"/>
      <c r="B37" s="2"/>
      <c r="C37" s="2"/>
      <c r="D37" s="2"/>
      <c r="E37" s="2"/>
      <c r="F37" s="2"/>
    </row>
    <row r="38" spans="1:6" ht="15">
      <c r="A38" s="34"/>
      <c r="B38" s="34"/>
      <c r="C38" s="34"/>
      <c r="D38" s="34"/>
      <c r="E38" s="34"/>
      <c r="F38" s="35"/>
    </row>
    <row r="39" spans="1:6" ht="105">
      <c r="A39" s="11" t="s">
        <v>28</v>
      </c>
      <c r="B39" s="11" t="s">
        <v>29</v>
      </c>
      <c r="C39" s="11" t="s">
        <v>30</v>
      </c>
      <c r="D39" s="11" t="s">
        <v>31</v>
      </c>
      <c r="E39" s="11" t="s">
        <v>47</v>
      </c>
      <c r="F39" s="11" t="s">
        <v>33</v>
      </c>
    </row>
    <row r="40" spans="1:6" ht="15">
      <c r="A40" s="11">
        <v>1</v>
      </c>
      <c r="B40" s="8" t="s">
        <v>34</v>
      </c>
      <c r="C40" s="11" t="s">
        <v>82</v>
      </c>
      <c r="D40" s="49">
        <v>391.33</v>
      </c>
      <c r="E40" s="50">
        <f>D40/12/$D$2</f>
        <v>0.660138326585695</v>
      </c>
      <c r="F40" s="38">
        <v>1</v>
      </c>
    </row>
    <row r="41" spans="1:6" ht="15">
      <c r="A41" s="51"/>
      <c r="B41" s="51" t="s">
        <v>36</v>
      </c>
      <c r="C41" s="51"/>
      <c r="D41" s="52">
        <f>SUM(D40:D40)</f>
        <v>391.33</v>
      </c>
      <c r="E41" s="53">
        <f>SUM(E40:E40)</f>
        <v>0.660138326585695</v>
      </c>
      <c r="F41" s="51"/>
    </row>
  </sheetData>
  <mergeCells count="9">
    <mergeCell ref="A33:C33"/>
    <mergeCell ref="A15:C15"/>
    <mergeCell ref="A28:F28"/>
    <mergeCell ref="A31:C31"/>
    <mergeCell ref="A7:C7"/>
    <mergeCell ref="A12:C12"/>
    <mergeCell ref="A10:C10"/>
    <mergeCell ref="A1:E1"/>
    <mergeCell ref="A4:E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6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388</v>
      </c>
    </row>
    <row r="2" spans="1:6" ht="25.5" customHeight="1">
      <c r="A2" s="2"/>
      <c r="B2" s="1" t="s">
        <v>389</v>
      </c>
      <c r="C2" s="4"/>
      <c r="D2" s="5">
        <v>136.8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5.25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1036.1985776192553</v>
      </c>
      <c r="E7" s="12">
        <f>SUM(E8:E9)</f>
        <v>0.6312125838323923</v>
      </c>
      <c r="F7" s="19"/>
      <c r="G7" s="125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948.0316355162445</v>
      </c>
      <c r="E8" s="20">
        <v>0.5775046512647688</v>
      </c>
      <c r="F8" s="21"/>
      <c r="G8" s="125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88.16694210301077</v>
      </c>
      <c r="E9" s="17">
        <v>0.05370793256762352</v>
      </c>
      <c r="F9" s="21"/>
      <c r="G9" s="125"/>
    </row>
    <row r="10" spans="1:7" ht="15">
      <c r="A10" s="140" t="s">
        <v>64</v>
      </c>
      <c r="B10" s="143"/>
      <c r="C10" s="144"/>
      <c r="D10" s="23">
        <f>SUM(D11:D12)</f>
        <v>1926.7357105343453</v>
      </c>
      <c r="E10" s="23">
        <f>SUM(E11:E12)</f>
        <v>1.1736937807835923</v>
      </c>
      <c r="F10" s="21"/>
      <c r="G10" s="125"/>
    </row>
    <row r="11" spans="1:7" ht="30">
      <c r="A11" s="15">
        <v>3</v>
      </c>
      <c r="B11" s="22" t="s">
        <v>105</v>
      </c>
      <c r="C11" s="22" t="s">
        <v>18</v>
      </c>
      <c r="D11" s="17">
        <f>E11*12*$D$2</f>
        <v>220.38446060117354</v>
      </c>
      <c r="E11" s="18">
        <v>0.1342497932512022</v>
      </c>
      <c r="F11" s="103"/>
      <c r="G11" s="125"/>
    </row>
    <row r="12" spans="1:7" ht="90">
      <c r="A12" s="15">
        <v>4</v>
      </c>
      <c r="B12" s="22" t="s">
        <v>106</v>
      </c>
      <c r="C12" s="22" t="s">
        <v>18</v>
      </c>
      <c r="D12" s="17">
        <f>E12*12*$D$2</f>
        <v>1706.3512499331719</v>
      </c>
      <c r="E12" s="17">
        <v>1.0394439875323902</v>
      </c>
      <c r="F12" s="2"/>
      <c r="G12" s="125"/>
    </row>
    <row r="13" spans="1:7" ht="15">
      <c r="A13" s="145" t="s">
        <v>67</v>
      </c>
      <c r="B13" s="146"/>
      <c r="C13" s="146"/>
      <c r="D13" s="24">
        <f>SUM(D14:D15)</f>
        <v>2772.6718402659494</v>
      </c>
      <c r="E13" s="24">
        <f>SUM(E14:E15)</f>
        <v>1.6890057506493357</v>
      </c>
      <c r="F13" s="2"/>
      <c r="G13" s="125"/>
    </row>
    <row r="14" spans="1:7" ht="75">
      <c r="A14" s="15">
        <v>5</v>
      </c>
      <c r="B14" s="22" t="s">
        <v>78</v>
      </c>
      <c r="C14" s="22" t="s">
        <v>18</v>
      </c>
      <c r="D14" s="17">
        <f>E14*12*$D$2</f>
        <v>208.84536599368968</v>
      </c>
      <c r="E14" s="17">
        <v>0.12722061768621448</v>
      </c>
      <c r="F14" s="2"/>
      <c r="G14" s="125"/>
    </row>
    <row r="15" spans="1:7" ht="105">
      <c r="A15" s="15">
        <v>6</v>
      </c>
      <c r="B15" s="22" t="s">
        <v>22</v>
      </c>
      <c r="C15" s="22" t="s">
        <v>107</v>
      </c>
      <c r="D15" s="17">
        <f>E15*12*$D$2</f>
        <v>2563.82647427226</v>
      </c>
      <c r="E15" s="20">
        <v>1.5617851329631212</v>
      </c>
      <c r="F15" s="2"/>
      <c r="G15" s="125"/>
    </row>
    <row r="16" spans="1:7" ht="15">
      <c r="A16" s="145" t="s">
        <v>70</v>
      </c>
      <c r="B16" s="145"/>
      <c r="C16" s="145"/>
      <c r="D16" s="25">
        <f>SUM(D17)</f>
        <v>296.03822812260177</v>
      </c>
      <c r="E16" s="25">
        <f>SUM(E17)</f>
        <v>0.18033517794992798</v>
      </c>
      <c r="F16" s="2"/>
      <c r="G16" s="125"/>
    </row>
    <row r="17" spans="1:7" ht="15">
      <c r="A17" s="15">
        <v>7</v>
      </c>
      <c r="B17" s="22" t="s">
        <v>25</v>
      </c>
      <c r="C17" s="22" t="s">
        <v>26</v>
      </c>
      <c r="D17" s="17">
        <f>E17*12*$D$2</f>
        <v>296.03822812260177</v>
      </c>
      <c r="E17" s="26">
        <f>0.186035177949928-0.0057</f>
        <v>0.18033517794992798</v>
      </c>
      <c r="F17" s="2"/>
      <c r="G17" s="125"/>
    </row>
    <row r="18" spans="1:7" ht="15">
      <c r="A18" s="9"/>
      <c r="B18" s="27" t="s">
        <v>27</v>
      </c>
      <c r="C18" s="27"/>
      <c r="D18" s="48">
        <f>+D7+D10+D13+D16</f>
        <v>6031.644356542151</v>
      </c>
      <c r="E18" s="12">
        <f>+E7+E10+E13+E16</f>
        <v>3.6742472932152483</v>
      </c>
      <c r="F18" s="6"/>
      <c r="G18" s="125"/>
    </row>
    <row r="19" spans="1:6" ht="15">
      <c r="A19" s="29"/>
      <c r="B19" s="30"/>
      <c r="C19" s="31"/>
      <c r="D19" s="32"/>
      <c r="E19" s="33"/>
      <c r="F19" s="2"/>
    </row>
    <row r="20" spans="1:6" ht="7.5" customHeight="1">
      <c r="A20" s="34"/>
      <c r="B20" s="34"/>
      <c r="C20" s="34"/>
      <c r="D20" s="34"/>
      <c r="E20" s="34"/>
      <c r="F20" s="35"/>
    </row>
    <row r="21" spans="1:6" ht="105">
      <c r="A21" s="11" t="s">
        <v>28</v>
      </c>
      <c r="B21" s="11" t="s">
        <v>29</v>
      </c>
      <c r="C21" s="11" t="s">
        <v>30</v>
      </c>
      <c r="D21" s="11" t="s">
        <v>31</v>
      </c>
      <c r="E21" s="11" t="s">
        <v>32</v>
      </c>
      <c r="F21" s="11" t="s">
        <v>33</v>
      </c>
    </row>
    <row r="22" spans="1:6" ht="15">
      <c r="A22" s="11">
        <v>1</v>
      </c>
      <c r="B22" s="8" t="s">
        <v>123</v>
      </c>
      <c r="C22" s="11" t="s">
        <v>390</v>
      </c>
      <c r="D22" s="11">
        <v>3575</v>
      </c>
      <c r="E22" s="37">
        <f>D22/12/$D$2</f>
        <v>2.177753411306043</v>
      </c>
      <c r="F22" s="38">
        <v>2</v>
      </c>
    </row>
    <row r="23" spans="1:6" ht="15">
      <c r="A23" s="11"/>
      <c r="B23" s="39" t="s">
        <v>36</v>
      </c>
      <c r="C23" s="10"/>
      <c r="D23" s="54">
        <f>SUM(D22:D22)</f>
        <v>3575</v>
      </c>
      <c r="E23" s="40">
        <f>SUM(E22:E22)</f>
        <v>2.177753411306043</v>
      </c>
      <c r="F23" s="41"/>
    </row>
    <row r="24" spans="1:6" ht="15">
      <c r="A24" s="29"/>
      <c r="B24" s="30"/>
      <c r="C24" s="42"/>
      <c r="D24" s="42"/>
      <c r="E24" s="42"/>
      <c r="F24" s="42"/>
    </row>
    <row r="25" spans="1:6" ht="29.25">
      <c r="A25" s="29"/>
      <c r="B25" s="30" t="s">
        <v>37</v>
      </c>
      <c r="C25" s="43">
        <f>D18+D23</f>
        <v>9606.64435654215</v>
      </c>
      <c r="D25" s="43"/>
      <c r="E25" s="43"/>
      <c r="F25" s="42"/>
    </row>
    <row r="26" spans="1:6" ht="15">
      <c r="A26" s="29"/>
      <c r="B26" s="30" t="s">
        <v>38</v>
      </c>
      <c r="C26" s="44">
        <f>E18+E23</f>
        <v>5.852000704521291</v>
      </c>
      <c r="D26" s="42"/>
      <c r="E26" s="42"/>
      <c r="F26" s="42"/>
    </row>
    <row r="27" spans="1:6" ht="3.75" customHeight="1">
      <c r="A27" s="29"/>
      <c r="B27" s="30"/>
      <c r="C27" s="44"/>
      <c r="D27" s="42"/>
      <c r="E27" s="42"/>
      <c r="F27" s="42"/>
    </row>
    <row r="28" spans="1:6" ht="15">
      <c r="A28" s="2"/>
      <c r="B28" s="2"/>
      <c r="C28" s="2"/>
      <c r="D28" s="2"/>
      <c r="E28" s="2"/>
      <c r="F28" s="2"/>
    </row>
    <row r="29" spans="1:6" ht="33" customHeight="1">
      <c r="A29" s="138" t="s">
        <v>39</v>
      </c>
      <c r="B29" s="138"/>
      <c r="C29" s="138"/>
      <c r="D29" s="138"/>
      <c r="E29" s="138"/>
      <c r="F29" s="13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4</v>
      </c>
      <c r="C31" s="9" t="s">
        <v>5</v>
      </c>
      <c r="D31" s="9" t="s">
        <v>6</v>
      </c>
      <c r="E31" s="9" t="s">
        <v>7</v>
      </c>
      <c r="F31" s="2"/>
    </row>
    <row r="32" spans="1:5" ht="32.25" customHeight="1">
      <c r="A32" s="139" t="s">
        <v>312</v>
      </c>
      <c r="B32" s="139"/>
      <c r="C32" s="139"/>
      <c r="D32" s="12">
        <f>D33+D34</f>
        <v>131.328</v>
      </c>
      <c r="E32" s="12">
        <f>E33+E34</f>
        <v>0.08</v>
      </c>
    </row>
    <row r="33" spans="1:5" ht="42.75" customHeight="1">
      <c r="A33" s="15">
        <v>1</v>
      </c>
      <c r="B33" s="45" t="s">
        <v>44</v>
      </c>
      <c r="C33" s="45" t="s">
        <v>45</v>
      </c>
      <c r="D33" s="17">
        <f>E33*$D$2*12</f>
        <v>32.832</v>
      </c>
      <c r="E33" s="46">
        <v>0.02</v>
      </c>
    </row>
    <row r="34" spans="1:5" ht="15">
      <c r="A34" s="15">
        <v>2</v>
      </c>
      <c r="B34" s="47" t="s">
        <v>46</v>
      </c>
      <c r="C34" s="8" t="s">
        <v>42</v>
      </c>
      <c r="D34" s="17">
        <f>E34*$D$2*12</f>
        <v>98.49600000000001</v>
      </c>
      <c r="E34" s="18">
        <v>0.06</v>
      </c>
    </row>
    <row r="35" spans="1:6" ht="15">
      <c r="A35" s="9"/>
      <c r="B35" s="27" t="s">
        <v>27</v>
      </c>
      <c r="C35" s="27"/>
      <c r="D35" s="48">
        <f>+D32</f>
        <v>131.328</v>
      </c>
      <c r="E35" s="12">
        <f>+E32</f>
        <v>0.08</v>
      </c>
      <c r="F35" s="6"/>
    </row>
    <row r="36" spans="1:6" ht="15">
      <c r="A36" s="2"/>
      <c r="B36" s="2"/>
      <c r="C36" s="2"/>
      <c r="D36" s="2"/>
      <c r="E36" s="2"/>
      <c r="F36" s="2"/>
    </row>
    <row r="37" spans="1:6" ht="15">
      <c r="A37" s="34"/>
      <c r="B37" s="34"/>
      <c r="C37" s="34"/>
      <c r="D37" s="34"/>
      <c r="E37" s="34"/>
      <c r="F37" s="35"/>
    </row>
    <row r="38" spans="1:6" ht="105">
      <c r="A38" s="11" t="s">
        <v>28</v>
      </c>
      <c r="B38" s="11" t="s">
        <v>29</v>
      </c>
      <c r="C38" s="11" t="s">
        <v>30</v>
      </c>
      <c r="D38" s="11" t="s">
        <v>31</v>
      </c>
      <c r="E38" s="11" t="s">
        <v>47</v>
      </c>
      <c r="F38" s="11" t="s">
        <v>33</v>
      </c>
    </row>
    <row r="39" spans="1:6" ht="15">
      <c r="A39" s="11">
        <v>1</v>
      </c>
      <c r="B39" s="8" t="s">
        <v>123</v>
      </c>
      <c r="C39" s="11" t="s">
        <v>124</v>
      </c>
      <c r="D39" s="36">
        <v>1650</v>
      </c>
      <c r="E39" s="50">
        <f>D39/12/$D$2</f>
        <v>1.0051169590643274</v>
      </c>
      <c r="F39" s="38">
        <v>2</v>
      </c>
    </row>
    <row r="40" spans="1:6" ht="15">
      <c r="A40" s="51"/>
      <c r="B40" s="51" t="s">
        <v>36</v>
      </c>
      <c r="C40" s="51"/>
      <c r="D40" s="52">
        <f>SUM(D39:D39)</f>
        <v>1650</v>
      </c>
      <c r="E40" s="53">
        <f>SUM(E39:E39)</f>
        <v>1.0051169590643274</v>
      </c>
      <c r="F40" s="51"/>
    </row>
    <row r="43" spans="2:3" ht="29.25">
      <c r="B43" s="30" t="s">
        <v>391</v>
      </c>
      <c r="C43" s="43">
        <v>9606.64435654215</v>
      </c>
    </row>
  </sheetData>
  <sheetProtection/>
  <mergeCells count="7">
    <mergeCell ref="A4:E4"/>
    <mergeCell ref="A29:F29"/>
    <mergeCell ref="A32:C32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61"/>
  <sheetViews>
    <sheetView tabSelected="1" workbookViewId="0" topLeftCell="A52">
      <selection activeCell="B62" sqref="B6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2" ht="15">
      <c r="C2" s="93" t="s">
        <v>392</v>
      </c>
    </row>
    <row r="3" spans="1:6" ht="39" customHeight="1">
      <c r="A3" s="2"/>
      <c r="B3" s="1" t="s">
        <v>482</v>
      </c>
      <c r="C3" s="4"/>
      <c r="D3" s="5">
        <v>475.6</v>
      </c>
      <c r="E3" s="6" t="s">
        <v>2</v>
      </c>
      <c r="F3" s="2"/>
    </row>
    <row r="4" spans="1:6" ht="15">
      <c r="A4" s="2"/>
      <c r="B4" s="7"/>
      <c r="C4" s="2"/>
      <c r="D4" s="2"/>
      <c r="E4" s="2"/>
      <c r="F4" s="2"/>
    </row>
    <row r="5" spans="1:6" ht="30.75" customHeight="1">
      <c r="A5" s="138" t="s">
        <v>3</v>
      </c>
      <c r="B5" s="138"/>
      <c r="C5" s="138"/>
      <c r="D5" s="138"/>
      <c r="E5" s="138"/>
      <c r="F5" s="2"/>
    </row>
    <row r="6" spans="1:6" ht="15">
      <c r="A6" s="1"/>
      <c r="B6" s="1"/>
      <c r="C6" s="1"/>
      <c r="D6" s="1"/>
      <c r="E6" s="1"/>
      <c r="F6" s="2"/>
    </row>
    <row r="7" spans="1:6" ht="71.25">
      <c r="A7" s="8"/>
      <c r="B7" s="9" t="s">
        <v>4</v>
      </c>
      <c r="C7" s="9" t="s">
        <v>5</v>
      </c>
      <c r="D7" s="9" t="s">
        <v>6</v>
      </c>
      <c r="E7" s="9" t="s">
        <v>7</v>
      </c>
      <c r="F7" s="2"/>
    </row>
    <row r="8" spans="1:6" ht="15">
      <c r="A8" s="145" t="s">
        <v>289</v>
      </c>
      <c r="B8" s="146"/>
      <c r="C8" s="146"/>
      <c r="D8" s="24">
        <f>SUM(D9:D10)</f>
        <v>4377.181739360411</v>
      </c>
      <c r="E8" s="24">
        <f>SUM(E9:E10)</f>
        <v>0.7669578320998757</v>
      </c>
      <c r="F8" s="2"/>
    </row>
    <row r="9" spans="1:6" ht="30">
      <c r="A9" s="15">
        <v>1</v>
      </c>
      <c r="B9" s="22" t="s">
        <v>197</v>
      </c>
      <c r="C9" s="16" t="s">
        <v>147</v>
      </c>
      <c r="D9" s="17">
        <f>E9*$D$3*12</f>
        <v>2188.5908696802053</v>
      </c>
      <c r="E9" s="17">
        <v>0.38347891604993783</v>
      </c>
      <c r="F9" s="2"/>
    </row>
    <row r="10" spans="1:6" ht="15">
      <c r="A10" s="15">
        <v>2</v>
      </c>
      <c r="B10" s="22" t="s">
        <v>293</v>
      </c>
      <c r="C10" s="22" t="s">
        <v>291</v>
      </c>
      <c r="D10" s="17">
        <f>E10*$D$3*12</f>
        <v>2188.5908696802053</v>
      </c>
      <c r="E10" s="17">
        <v>0.38347891604993783</v>
      </c>
      <c r="F10" s="2"/>
    </row>
    <row r="11" spans="1:6" ht="30.75" customHeight="1">
      <c r="A11" s="145" t="s">
        <v>294</v>
      </c>
      <c r="B11" s="146"/>
      <c r="C11" s="146"/>
      <c r="D11" s="12">
        <f>SUM(D12:D19)</f>
        <v>12492.94355250417</v>
      </c>
      <c r="E11" s="12">
        <f>SUM(E12:E19)</f>
        <v>2.188979456213935</v>
      </c>
      <c r="F11" s="13"/>
    </row>
    <row r="12" spans="1:6" ht="34.5" customHeight="1">
      <c r="A12" s="15">
        <v>3</v>
      </c>
      <c r="B12" s="8" t="s">
        <v>153</v>
      </c>
      <c r="C12" s="16" t="s">
        <v>147</v>
      </c>
      <c r="D12" s="17">
        <f aca="true" t="shared" si="0" ref="D12:D19">E12*$D$3*12</f>
        <v>532.6263243861257</v>
      </c>
      <c r="E12" s="17">
        <v>0.09332533017699146</v>
      </c>
      <c r="F12" s="2"/>
    </row>
    <row r="13" spans="1:6" ht="15.75" customHeight="1">
      <c r="A13" s="15">
        <v>4</v>
      </c>
      <c r="B13" s="8" t="s">
        <v>146</v>
      </c>
      <c r="C13" s="16" t="s">
        <v>147</v>
      </c>
      <c r="D13" s="17">
        <f t="shared" si="0"/>
        <v>4794.888591337438</v>
      </c>
      <c r="E13" s="17">
        <v>0.8401472861188389</v>
      </c>
      <c r="F13" s="2"/>
    </row>
    <row r="14" spans="1:6" ht="15.75" customHeight="1">
      <c r="A14" s="15">
        <v>5</v>
      </c>
      <c r="B14" s="8" t="s">
        <v>9</v>
      </c>
      <c r="C14" s="16" t="s">
        <v>10</v>
      </c>
      <c r="D14" s="17">
        <f t="shared" si="0"/>
        <v>1108.6704979506194</v>
      </c>
      <c r="E14" s="17">
        <v>0.19425821733084864</v>
      </c>
      <c r="F14" s="2"/>
    </row>
    <row r="15" spans="1:6" ht="30">
      <c r="A15" s="15">
        <v>6</v>
      </c>
      <c r="B15" s="8" t="s">
        <v>158</v>
      </c>
      <c r="C15" s="22" t="s">
        <v>149</v>
      </c>
      <c r="D15" s="17">
        <f t="shared" si="0"/>
        <v>680.9143351527168</v>
      </c>
      <c r="E15" s="17">
        <v>0.11930795051035828</v>
      </c>
      <c r="F15" s="2"/>
    </row>
    <row r="16" spans="1:6" ht="60">
      <c r="A16" s="15">
        <v>7</v>
      </c>
      <c r="B16" s="16" t="s">
        <v>159</v>
      </c>
      <c r="C16" s="16" t="s">
        <v>160</v>
      </c>
      <c r="D16" s="17">
        <f t="shared" si="0"/>
        <v>3631.5431208144946</v>
      </c>
      <c r="E16" s="17">
        <v>0.6363090693885783</v>
      </c>
      <c r="F16" s="2"/>
    </row>
    <row r="17" spans="1:6" ht="15.75" customHeight="1">
      <c r="A17" s="15">
        <v>8</v>
      </c>
      <c r="B17" s="22" t="s">
        <v>148</v>
      </c>
      <c r="C17" s="22" t="s">
        <v>149</v>
      </c>
      <c r="D17" s="17">
        <f t="shared" si="0"/>
        <v>38.43021512601001</v>
      </c>
      <c r="E17" s="17">
        <v>0.006733637357374896</v>
      </c>
      <c r="F17" s="2"/>
    </row>
    <row r="18" spans="1:6" ht="15.75" customHeight="1">
      <c r="A18" s="15">
        <v>9</v>
      </c>
      <c r="B18" s="22" t="s">
        <v>46</v>
      </c>
      <c r="C18" s="22" t="s">
        <v>161</v>
      </c>
      <c r="D18" s="17">
        <f t="shared" si="0"/>
        <v>1294.2799570674233</v>
      </c>
      <c r="E18" s="17">
        <v>0.22678019993471812</v>
      </c>
      <c r="F18" s="2"/>
    </row>
    <row r="19" spans="1:6" ht="15.75" customHeight="1">
      <c r="A19" s="15">
        <v>10</v>
      </c>
      <c r="B19" s="22" t="s">
        <v>150</v>
      </c>
      <c r="C19" s="22" t="s">
        <v>18</v>
      </c>
      <c r="D19" s="17">
        <f t="shared" si="0"/>
        <v>411.59051066934114</v>
      </c>
      <c r="E19" s="17">
        <v>0.07211776539622601</v>
      </c>
      <c r="F19" s="21"/>
    </row>
    <row r="20" spans="1:6" ht="15">
      <c r="A20" s="140" t="s">
        <v>352</v>
      </c>
      <c r="B20" s="141"/>
      <c r="C20" s="142"/>
      <c r="D20" s="12">
        <f>SUM(D21:D22)</f>
        <v>2960.567364626449</v>
      </c>
      <c r="E20" s="12">
        <f>SUM(E21:E22)</f>
        <v>0.5187425295462659</v>
      </c>
      <c r="F20" s="19"/>
    </row>
    <row r="21" spans="1:6" ht="15.75" customHeight="1">
      <c r="A21" s="15">
        <v>11</v>
      </c>
      <c r="B21" s="8" t="s">
        <v>12</v>
      </c>
      <c r="C21" s="16" t="s">
        <v>13</v>
      </c>
      <c r="D21" s="17">
        <f>E21*$D$3*12</f>
        <v>2708.6618157607036</v>
      </c>
      <c r="E21" s="20">
        <v>0.47460432712375655</v>
      </c>
      <c r="F21" s="21"/>
    </row>
    <row r="22" spans="1:6" ht="30">
      <c r="A22" s="15">
        <v>12</v>
      </c>
      <c r="B22" s="22" t="s">
        <v>14</v>
      </c>
      <c r="C22" s="22" t="s">
        <v>15</v>
      </c>
      <c r="D22" s="17">
        <f>E22*$D$3*12</f>
        <v>251.90554886574546</v>
      </c>
      <c r="E22" s="17">
        <v>0.04413820242250937</v>
      </c>
      <c r="F22" s="21"/>
    </row>
    <row r="23" spans="1:6" ht="15">
      <c r="A23" s="140" t="s">
        <v>295</v>
      </c>
      <c r="B23" s="143"/>
      <c r="C23" s="144"/>
      <c r="D23" s="23">
        <f>SUM(D24:D27)</f>
        <v>7690.814694321878</v>
      </c>
      <c r="E23" s="23">
        <f>SUM(E24:E27)</f>
        <v>1.3475635503087113</v>
      </c>
      <c r="F23" s="21"/>
    </row>
    <row r="24" spans="1:6" ht="18.75" customHeight="1">
      <c r="A24" s="15">
        <v>13</v>
      </c>
      <c r="B24" s="22" t="s">
        <v>17</v>
      </c>
      <c r="C24" s="22" t="s">
        <v>18</v>
      </c>
      <c r="D24" s="17">
        <f>E24*12*$D$3</f>
        <v>188.76091980499692</v>
      </c>
      <c r="E24" s="17">
        <v>0.03307417294032045</v>
      </c>
      <c r="F24" s="13"/>
    </row>
    <row r="25" spans="1:6" ht="30">
      <c r="A25" s="15">
        <v>14</v>
      </c>
      <c r="B25" s="22" t="s">
        <v>105</v>
      </c>
      <c r="C25" s="22" t="s">
        <v>18</v>
      </c>
      <c r="D25" s="17">
        <f>E25*12*$D$3</f>
        <v>939.4938278230686</v>
      </c>
      <c r="E25" s="17">
        <v>0.16461554314253374</v>
      </c>
      <c r="F25" s="103"/>
    </row>
    <row r="26" spans="1:6" ht="30">
      <c r="A26" s="15">
        <v>15</v>
      </c>
      <c r="B26" s="22" t="s">
        <v>296</v>
      </c>
      <c r="C26" s="22" t="s">
        <v>18</v>
      </c>
      <c r="D26" s="17">
        <f>E26*12*$D$3</f>
        <v>340.9872269481268</v>
      </c>
      <c r="E26" s="17">
        <v>0.05974685081092774</v>
      </c>
      <c r="F26" s="2"/>
    </row>
    <row r="27" spans="1:6" ht="90">
      <c r="A27" s="15">
        <v>16</v>
      </c>
      <c r="B27" s="22" t="s">
        <v>106</v>
      </c>
      <c r="C27" s="22" t="s">
        <v>18</v>
      </c>
      <c r="D27" s="17">
        <f>E27*12*$D$3</f>
        <v>6221.572719745685</v>
      </c>
      <c r="E27" s="17">
        <v>1.0901269834149294</v>
      </c>
      <c r="F27" s="2"/>
    </row>
    <row r="28" spans="1:6" ht="15">
      <c r="A28" s="145" t="s">
        <v>297</v>
      </c>
      <c r="B28" s="146"/>
      <c r="C28" s="146"/>
      <c r="D28" s="24">
        <f>SUM(D29:D30)</f>
        <v>8869.696587101726</v>
      </c>
      <c r="E28" s="24">
        <f>SUM(E29:E30)</f>
        <v>1.554124016523291</v>
      </c>
      <c r="F28" s="2"/>
    </row>
    <row r="29" spans="1:6" ht="75">
      <c r="A29" s="15">
        <v>17</v>
      </c>
      <c r="B29" s="22" t="s">
        <v>78</v>
      </c>
      <c r="C29" s="22" t="s">
        <v>18</v>
      </c>
      <c r="D29" s="17">
        <f>E29*12*$D$3</f>
        <v>580.4334450962803</v>
      </c>
      <c r="E29" s="17">
        <v>0.10170196332637375</v>
      </c>
      <c r="F29" s="2"/>
    </row>
    <row r="30" spans="1:6" ht="105">
      <c r="A30" s="15">
        <v>18</v>
      </c>
      <c r="B30" s="22" t="s">
        <v>22</v>
      </c>
      <c r="C30" s="22" t="s">
        <v>107</v>
      </c>
      <c r="D30" s="17">
        <f>E30*12*$D$3</f>
        <v>8289.263142005446</v>
      </c>
      <c r="E30" s="20">
        <v>1.4524220531969172</v>
      </c>
      <c r="F30" s="2"/>
    </row>
    <row r="31" spans="1:6" ht="15">
      <c r="A31" s="145" t="s">
        <v>298</v>
      </c>
      <c r="B31" s="145"/>
      <c r="C31" s="145"/>
      <c r="D31" s="25">
        <f>SUM(D32)</f>
        <v>643.1040000000007</v>
      </c>
      <c r="E31" s="25">
        <f>SUM(E32)</f>
        <v>0.1126829268292684</v>
      </c>
      <c r="F31" s="2"/>
    </row>
    <row r="32" spans="1:6" ht="15">
      <c r="A32" s="15">
        <v>19</v>
      </c>
      <c r="B32" s="22" t="s">
        <v>25</v>
      </c>
      <c r="C32" s="22" t="s">
        <v>26</v>
      </c>
      <c r="D32" s="17">
        <f>E32*12*$D$3</f>
        <v>643.1040000000007</v>
      </c>
      <c r="E32" s="26">
        <v>0.1126829268292684</v>
      </c>
      <c r="F32" s="2"/>
    </row>
    <row r="33" spans="1:6" ht="15">
      <c r="A33" s="145" t="s">
        <v>299</v>
      </c>
      <c r="B33" s="145"/>
      <c r="C33" s="145"/>
      <c r="D33" s="25">
        <f>SUM(D34:D35)</f>
        <v>379.5618752506116</v>
      </c>
      <c r="E33" s="25">
        <f>SUM(E34:E35)</f>
        <v>0.06650579535509735</v>
      </c>
      <c r="F33" s="2"/>
    </row>
    <row r="34" spans="1:6" ht="30">
      <c r="A34" s="15">
        <v>20</v>
      </c>
      <c r="B34" s="22" t="s">
        <v>152</v>
      </c>
      <c r="C34" s="22" t="s">
        <v>15</v>
      </c>
      <c r="D34" s="17">
        <f>E34*12*$D$3</f>
        <v>316.7826752506116</v>
      </c>
      <c r="E34" s="20">
        <v>0.055505795355097344</v>
      </c>
      <c r="F34" s="2"/>
    </row>
    <row r="35" spans="1:6" ht="45">
      <c r="A35" s="15">
        <v>21</v>
      </c>
      <c r="B35" s="22" t="s">
        <v>300</v>
      </c>
      <c r="C35" s="22" t="s">
        <v>301</v>
      </c>
      <c r="D35" s="17">
        <f>E35*12*$D$3</f>
        <v>62.7792</v>
      </c>
      <c r="E35" s="17">
        <v>0.011000000000000001</v>
      </c>
      <c r="F35" s="2"/>
    </row>
    <row r="36" spans="1:6" ht="15">
      <c r="A36" s="9"/>
      <c r="B36" s="27" t="s">
        <v>27</v>
      </c>
      <c r="C36" s="27"/>
      <c r="D36" s="48">
        <f>D8+D11+D20+D23+D28+D31+D33</f>
        <v>37413.86981316524</v>
      </c>
      <c r="E36" s="12">
        <f>E8+E11+E20+E23+E28+E31+E33</f>
        <v>6.555556106876446</v>
      </c>
      <c r="F36" s="6"/>
    </row>
    <row r="37" spans="1:6" ht="15">
      <c r="A37" s="29"/>
      <c r="B37" s="30"/>
      <c r="C37" s="31"/>
      <c r="D37" s="128"/>
      <c r="E37" s="64"/>
      <c r="F37" s="2"/>
    </row>
    <row r="38" spans="1:6" ht="15">
      <c r="A38" s="34"/>
      <c r="B38" s="34"/>
      <c r="C38" s="34"/>
      <c r="D38" s="34"/>
      <c r="E38" s="34"/>
      <c r="F38" s="35"/>
    </row>
    <row r="39" spans="1:6" ht="105">
      <c r="A39" s="11" t="s">
        <v>28</v>
      </c>
      <c r="B39" s="11" t="s">
        <v>29</v>
      </c>
      <c r="C39" s="11" t="s">
        <v>30</v>
      </c>
      <c r="D39" s="11" t="s">
        <v>31</v>
      </c>
      <c r="E39" s="11" t="s">
        <v>32</v>
      </c>
      <c r="F39" s="11" t="s">
        <v>33</v>
      </c>
    </row>
    <row r="40" spans="1:6" ht="15">
      <c r="A40" s="11">
        <v>1</v>
      </c>
      <c r="B40" s="8" t="s">
        <v>302</v>
      </c>
      <c r="C40" s="11" t="s">
        <v>193</v>
      </c>
      <c r="D40" s="11">
        <v>4620</v>
      </c>
      <c r="E40" s="37">
        <f>D40/12/$D$3</f>
        <v>0.8095037846930193</v>
      </c>
      <c r="F40" s="38">
        <v>2</v>
      </c>
    </row>
    <row r="41" spans="1:6" ht="15">
      <c r="A41" s="11">
        <v>2</v>
      </c>
      <c r="B41" s="124" t="s">
        <v>140</v>
      </c>
      <c r="C41" s="11" t="s">
        <v>35</v>
      </c>
      <c r="D41" s="11">
        <v>3696</v>
      </c>
      <c r="E41" s="37">
        <f>D41/12/$D$3</f>
        <v>0.6476030277544155</v>
      </c>
      <c r="F41" s="11">
        <v>2</v>
      </c>
    </row>
    <row r="42" spans="1:6" ht="15">
      <c r="A42" s="11">
        <v>3</v>
      </c>
      <c r="B42" s="124" t="s">
        <v>393</v>
      </c>
      <c r="C42" s="11" t="s">
        <v>342</v>
      </c>
      <c r="D42" s="11">
        <v>4114</v>
      </c>
      <c r="E42" s="37">
        <f>D42/12/$D$3</f>
        <v>0.720843846369498</v>
      </c>
      <c r="F42" s="11">
        <v>2</v>
      </c>
    </row>
    <row r="43" spans="1:6" ht="15">
      <c r="A43" s="11"/>
      <c r="B43" s="39" t="s">
        <v>36</v>
      </c>
      <c r="C43" s="10"/>
      <c r="D43" s="54">
        <f>SUM(D40:D42)</f>
        <v>12430</v>
      </c>
      <c r="E43" s="40">
        <f>SUM(E40:E42)</f>
        <v>2.1779506588169326</v>
      </c>
      <c r="F43" s="41"/>
    </row>
    <row r="44" spans="1:6" ht="15">
      <c r="A44" s="29"/>
      <c r="B44" s="30"/>
      <c r="C44" s="42"/>
      <c r="D44" s="42"/>
      <c r="E44" s="42"/>
      <c r="F44" s="42"/>
    </row>
    <row r="45" spans="1:6" ht="29.25">
      <c r="A45" s="29"/>
      <c r="B45" s="30" t="s">
        <v>37</v>
      </c>
      <c r="C45" s="43">
        <f>D36+D43</f>
        <v>49843.86981316524</v>
      </c>
      <c r="D45" s="43"/>
      <c r="E45" s="43"/>
      <c r="F45" s="42"/>
    </row>
    <row r="46" spans="1:6" ht="15">
      <c r="A46" s="29"/>
      <c r="B46" s="30" t="s">
        <v>38</v>
      </c>
      <c r="C46" s="44">
        <f>E36+E43</f>
        <v>8.733506765693377</v>
      </c>
      <c r="D46" s="42"/>
      <c r="E46" s="42"/>
      <c r="F46" s="42"/>
    </row>
    <row r="47" spans="1:6" ht="15">
      <c r="A47" s="29"/>
      <c r="B47" s="30"/>
      <c r="C47" s="44"/>
      <c r="D47" s="42"/>
      <c r="E47" s="42"/>
      <c r="F47" s="42"/>
    </row>
    <row r="48" spans="1:6" ht="15">
      <c r="A48" s="2"/>
      <c r="B48" s="2"/>
      <c r="C48" s="2"/>
      <c r="D48" s="2"/>
      <c r="E48" s="2"/>
      <c r="F48" s="2"/>
    </row>
    <row r="49" spans="1:6" ht="33" customHeight="1">
      <c r="A49" s="138" t="s">
        <v>39</v>
      </c>
      <c r="B49" s="138"/>
      <c r="C49" s="138"/>
      <c r="D49" s="138"/>
      <c r="E49" s="138"/>
      <c r="F49" s="138"/>
    </row>
    <row r="50" spans="1:6" ht="15">
      <c r="A50" s="1"/>
      <c r="B50" s="1"/>
      <c r="C50" s="1"/>
      <c r="D50" s="2"/>
      <c r="E50" s="2"/>
      <c r="F50" s="2"/>
    </row>
    <row r="51" spans="1:6" ht="71.25">
      <c r="A51" s="8"/>
      <c r="B51" s="9" t="s">
        <v>4</v>
      </c>
      <c r="C51" s="9" t="s">
        <v>5</v>
      </c>
      <c r="D51" s="9" t="s">
        <v>6</v>
      </c>
      <c r="E51" s="9" t="s">
        <v>7</v>
      </c>
      <c r="F51" s="2"/>
    </row>
    <row r="52" spans="1:5" ht="15">
      <c r="A52" s="139" t="s">
        <v>40</v>
      </c>
      <c r="B52" s="139"/>
      <c r="C52" s="139"/>
      <c r="D52" s="12">
        <f>D53+D54</f>
        <v>114.144</v>
      </c>
      <c r="E52" s="12">
        <f>E53+E54</f>
        <v>0.02</v>
      </c>
    </row>
    <row r="53" spans="1:5" ht="30">
      <c r="A53" s="15" t="s">
        <v>290</v>
      </c>
      <c r="B53" s="45" t="s">
        <v>197</v>
      </c>
      <c r="C53" s="45" t="s">
        <v>303</v>
      </c>
      <c r="D53" s="17">
        <f>E53*12*$D$3</f>
        <v>57.072</v>
      </c>
      <c r="E53" s="46">
        <v>0.01</v>
      </c>
    </row>
    <row r="54" spans="1:5" ht="30">
      <c r="A54" s="15" t="s">
        <v>304</v>
      </c>
      <c r="B54" s="45" t="s">
        <v>41</v>
      </c>
      <c r="C54" s="45" t="s">
        <v>213</v>
      </c>
      <c r="D54" s="17">
        <f>E54*12*$D$3</f>
        <v>57.072</v>
      </c>
      <c r="E54" s="46">
        <v>0.01</v>
      </c>
    </row>
    <row r="55" spans="1:5" ht="32.25" customHeight="1">
      <c r="A55" s="139" t="s">
        <v>43</v>
      </c>
      <c r="B55" s="139"/>
      <c r="C55" s="139"/>
      <c r="D55" s="12">
        <f>D56+D57+D58</f>
        <v>1712.16</v>
      </c>
      <c r="E55" s="12">
        <f>E56+E57+E58</f>
        <v>0.3</v>
      </c>
    </row>
    <row r="56" spans="1:5" ht="47.25" customHeight="1">
      <c r="A56" s="15" t="s">
        <v>305</v>
      </c>
      <c r="B56" s="45" t="s">
        <v>44</v>
      </c>
      <c r="C56" s="45" t="s">
        <v>45</v>
      </c>
      <c r="D56" s="17">
        <f>E56*$D$3*12</f>
        <v>114.144</v>
      </c>
      <c r="E56" s="46">
        <v>0.02</v>
      </c>
    </row>
    <row r="57" spans="1:5" ht="30">
      <c r="A57" s="15" t="s">
        <v>306</v>
      </c>
      <c r="B57" s="87" t="s">
        <v>153</v>
      </c>
      <c r="C57" s="87" t="s">
        <v>154</v>
      </c>
      <c r="D57" s="17">
        <f>E57*$D$3*12</f>
        <v>1255.584</v>
      </c>
      <c r="E57" s="46">
        <v>0.22</v>
      </c>
    </row>
    <row r="58" spans="1:5" ht="30">
      <c r="A58" s="15" t="s">
        <v>292</v>
      </c>
      <c r="B58" s="47" t="s">
        <v>46</v>
      </c>
      <c r="C58" s="8" t="s">
        <v>165</v>
      </c>
      <c r="D58" s="17">
        <f>E58*$D$3*12</f>
        <v>342.432</v>
      </c>
      <c r="E58" s="18">
        <v>0.06</v>
      </c>
    </row>
    <row r="59" spans="1:6" ht="15">
      <c r="A59" s="9"/>
      <c r="B59" s="27" t="s">
        <v>27</v>
      </c>
      <c r="C59" s="27"/>
      <c r="D59" s="48">
        <f>D52+D55</f>
        <v>1826.304</v>
      </c>
      <c r="E59" s="12">
        <f>E52+E55</f>
        <v>0.32</v>
      </c>
      <c r="F59" s="6"/>
    </row>
    <row r="60" spans="1:6" ht="15">
      <c r="A60" s="2"/>
      <c r="B60" s="2"/>
      <c r="C60" s="2"/>
      <c r="D60" s="2"/>
      <c r="E60" s="2"/>
      <c r="F60" s="2"/>
    </row>
    <row r="61" spans="2:3" ht="43.5">
      <c r="B61" s="30" t="s">
        <v>487</v>
      </c>
      <c r="C61" s="43">
        <v>49843.86981316524</v>
      </c>
    </row>
  </sheetData>
  <sheetProtection/>
  <mergeCells count="11">
    <mergeCell ref="A5:E5"/>
    <mergeCell ref="A8:C8"/>
    <mergeCell ref="A11:C11"/>
    <mergeCell ref="A33:C33"/>
    <mergeCell ref="A49:F49"/>
    <mergeCell ref="A52:C52"/>
    <mergeCell ref="A55:C55"/>
    <mergeCell ref="A20:C20"/>
    <mergeCell ref="A23:C23"/>
    <mergeCell ref="A28:C28"/>
    <mergeCell ref="A31:C31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6"/>
  <sheetViews>
    <sheetView workbookViewId="0" topLeftCell="A25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2" ht="15">
      <c r="C2" s="93" t="s">
        <v>325</v>
      </c>
    </row>
    <row r="3" spans="1:6" ht="39" customHeight="1">
      <c r="A3" s="2"/>
      <c r="B3" s="1" t="s">
        <v>326</v>
      </c>
      <c r="C3" s="4"/>
      <c r="D3" s="5">
        <v>258.27</v>
      </c>
      <c r="E3" s="6" t="s">
        <v>2</v>
      </c>
      <c r="F3" s="2"/>
    </row>
    <row r="4" spans="1:6" ht="15">
      <c r="A4" s="2"/>
      <c r="B4" s="7"/>
      <c r="C4" s="2"/>
      <c r="D4" s="2"/>
      <c r="E4" s="2"/>
      <c r="F4" s="2"/>
    </row>
    <row r="5" spans="1:6" ht="30.75" customHeight="1">
      <c r="A5" s="138" t="s">
        <v>3</v>
      </c>
      <c r="B5" s="138"/>
      <c r="C5" s="138"/>
      <c r="D5" s="138"/>
      <c r="E5" s="138"/>
      <c r="F5" s="2"/>
    </row>
    <row r="6" spans="1:6" ht="15">
      <c r="A6" s="1"/>
      <c r="B6" s="1"/>
      <c r="C6" s="1"/>
      <c r="D6" s="1"/>
      <c r="E6" s="1"/>
      <c r="F6" s="2"/>
    </row>
    <row r="7" spans="1:6" ht="71.25">
      <c r="A7" s="8"/>
      <c r="B7" s="9" t="s">
        <v>4</v>
      </c>
      <c r="C7" s="9" t="s">
        <v>5</v>
      </c>
      <c r="D7" s="9" t="s">
        <v>6</v>
      </c>
      <c r="E7" s="9" t="s">
        <v>7</v>
      </c>
      <c r="F7" s="2"/>
    </row>
    <row r="8" spans="1:7" ht="15" customHeight="1">
      <c r="A8" s="140" t="s">
        <v>61</v>
      </c>
      <c r="B8" s="143"/>
      <c r="C8" s="144"/>
      <c r="D8" s="12">
        <f>SUM(D9:D10)</f>
        <v>1113.4096630998192</v>
      </c>
      <c r="E8" s="12">
        <f>SUM(E9:E10)</f>
        <v>0.3592524822536555</v>
      </c>
      <c r="F8" s="19"/>
      <c r="G8" s="14"/>
    </row>
    <row r="9" spans="1:7" ht="15.75" customHeight="1">
      <c r="A9" s="15">
        <v>1</v>
      </c>
      <c r="B9" s="8" t="s">
        <v>12</v>
      </c>
      <c r="C9" s="16" t="s">
        <v>13</v>
      </c>
      <c r="D9" s="17">
        <f>E9*$D$3*12</f>
        <v>1063.0480529240588</v>
      </c>
      <c r="E9" s="17">
        <v>0.3430028177630835</v>
      </c>
      <c r="F9" s="21"/>
      <c r="G9" s="14"/>
    </row>
    <row r="10" spans="1:7" ht="40.5" customHeight="1">
      <c r="A10" s="130">
        <v>2</v>
      </c>
      <c r="B10" s="22" t="s">
        <v>14</v>
      </c>
      <c r="C10" s="22" t="s">
        <v>15</v>
      </c>
      <c r="D10" s="17">
        <f>E10*$D$3*12</f>
        <v>50.36161017576049</v>
      </c>
      <c r="E10" s="17">
        <v>0.016249664490572042</v>
      </c>
      <c r="F10" s="21"/>
      <c r="G10" s="14"/>
    </row>
    <row r="11" spans="1:7" ht="15">
      <c r="A11" s="140" t="s">
        <v>64</v>
      </c>
      <c r="B11" s="143"/>
      <c r="C11" s="144"/>
      <c r="D11" s="23">
        <f>SUM(D12:D13)</f>
        <v>108.05690318511513</v>
      </c>
      <c r="E11" s="23">
        <f>SUM(E12:E13)</f>
        <v>0.0348656132423159</v>
      </c>
      <c r="F11" s="21"/>
      <c r="G11" s="14"/>
    </row>
    <row r="12" spans="1:7" ht="18.75" customHeight="1">
      <c r="A12" s="15">
        <v>3</v>
      </c>
      <c r="B12" s="22" t="s">
        <v>17</v>
      </c>
      <c r="C12" s="22" t="s">
        <v>18</v>
      </c>
      <c r="D12" s="17">
        <f>E12*12*$D$3</f>
        <v>42.25499918355656</v>
      </c>
      <c r="E12" s="17">
        <v>0.01363398742387055</v>
      </c>
      <c r="F12" s="13"/>
      <c r="G12" s="14"/>
    </row>
    <row r="13" spans="1:7" ht="60">
      <c r="A13" s="15">
        <v>4</v>
      </c>
      <c r="B13" s="22" t="s">
        <v>311</v>
      </c>
      <c r="C13" s="22" t="s">
        <v>18</v>
      </c>
      <c r="D13" s="17">
        <f>E13*12*$D$3</f>
        <v>65.80190400155857</v>
      </c>
      <c r="E13" s="17">
        <v>0.02123162581844535</v>
      </c>
      <c r="F13" s="2"/>
      <c r="G13" s="14"/>
    </row>
    <row r="14" spans="1:7" ht="15">
      <c r="A14" s="145" t="s">
        <v>67</v>
      </c>
      <c r="B14" s="146"/>
      <c r="C14" s="146"/>
      <c r="D14" s="24">
        <f>SUM(D15:D16)</f>
        <v>2891.6699490930864</v>
      </c>
      <c r="E14" s="24">
        <f>SUM(E15:E16)</f>
        <v>0.9330254995073266</v>
      </c>
      <c r="F14" s="2"/>
      <c r="G14" s="14"/>
    </row>
    <row r="15" spans="1:7" ht="75">
      <c r="A15" s="15">
        <v>5</v>
      </c>
      <c r="B15" s="22" t="s">
        <v>98</v>
      </c>
      <c r="C15" s="22" t="s">
        <v>18</v>
      </c>
      <c r="D15" s="17">
        <f>E15*12*$D$3</f>
        <v>171.65046479206708</v>
      </c>
      <c r="E15" s="17">
        <v>0.055384695858361116</v>
      </c>
      <c r="F15" s="2"/>
      <c r="G15" s="14"/>
    </row>
    <row r="16" spans="1:7" ht="90">
      <c r="A16" s="15">
        <v>6</v>
      </c>
      <c r="B16" s="22" t="s">
        <v>22</v>
      </c>
      <c r="C16" s="22" t="s">
        <v>79</v>
      </c>
      <c r="D16" s="17">
        <f>E16*12*$D$3</f>
        <v>2720.0194843010195</v>
      </c>
      <c r="E16" s="20">
        <v>0.8776408036489655</v>
      </c>
      <c r="F16" s="2"/>
      <c r="G16" s="14"/>
    </row>
    <row r="17" spans="1:7" ht="15">
      <c r="A17" s="145" t="s">
        <v>70</v>
      </c>
      <c r="B17" s="145"/>
      <c r="C17" s="145"/>
      <c r="D17" s="25">
        <f>SUM(D18)</f>
        <v>590.1095611366324</v>
      </c>
      <c r="E17" s="25">
        <f>SUM(E18)</f>
        <v>0.190404602785403</v>
      </c>
      <c r="F17" s="2"/>
      <c r="G17" s="14"/>
    </row>
    <row r="18" spans="1:7" ht="15">
      <c r="A18" s="15">
        <v>7</v>
      </c>
      <c r="B18" s="22" t="s">
        <v>25</v>
      </c>
      <c r="C18" s="22" t="s">
        <v>26</v>
      </c>
      <c r="D18" s="17">
        <f>E18*12*$D$3</f>
        <v>590.1095611366324</v>
      </c>
      <c r="E18" s="26">
        <f>0.193944602785403-0.00354</f>
        <v>0.190404602785403</v>
      </c>
      <c r="F18" s="2"/>
      <c r="G18" s="14"/>
    </row>
    <row r="19" spans="1:7" ht="15">
      <c r="A19" s="9"/>
      <c r="B19" s="27" t="s">
        <v>27</v>
      </c>
      <c r="C19" s="27"/>
      <c r="D19" s="48">
        <f>+D8+D11+D14+D17</f>
        <v>4703.246076514653</v>
      </c>
      <c r="E19" s="12">
        <f>+E8+E11+E14+E17</f>
        <v>1.517548197788701</v>
      </c>
      <c r="F19" s="6"/>
      <c r="G19" s="14"/>
    </row>
    <row r="20" spans="1:6" ht="15">
      <c r="A20" s="29"/>
      <c r="B20" s="30"/>
      <c r="C20" s="31"/>
      <c r="D20" s="128"/>
      <c r="E20" s="64"/>
      <c r="F20" s="2"/>
    </row>
    <row r="21" spans="1:6" ht="15">
      <c r="A21" s="34"/>
      <c r="B21" s="34"/>
      <c r="C21" s="34"/>
      <c r="D21" s="34"/>
      <c r="E21" s="34"/>
      <c r="F21" s="35"/>
    </row>
    <row r="22" spans="1:6" ht="105">
      <c r="A22" s="11" t="s">
        <v>28</v>
      </c>
      <c r="B22" s="11" t="s">
        <v>29</v>
      </c>
      <c r="C22" s="11" t="s">
        <v>30</v>
      </c>
      <c r="D22" s="11" t="s">
        <v>31</v>
      </c>
      <c r="E22" s="11" t="s">
        <v>32</v>
      </c>
      <c r="F22" s="11" t="s">
        <v>33</v>
      </c>
    </row>
    <row r="23" spans="1:6" ht="15">
      <c r="A23" s="11">
        <v>1</v>
      </c>
      <c r="B23" s="8" t="s">
        <v>320</v>
      </c>
      <c r="C23" s="11" t="s">
        <v>182</v>
      </c>
      <c r="D23" s="11">
        <v>6756</v>
      </c>
      <c r="E23" s="37">
        <f>D23/12/$D$3</f>
        <v>2.1798892631741977</v>
      </c>
      <c r="F23" s="38">
        <v>2</v>
      </c>
    </row>
    <row r="24" spans="1:6" ht="15">
      <c r="A24" s="11"/>
      <c r="B24" s="39" t="s">
        <v>36</v>
      </c>
      <c r="C24" s="10"/>
      <c r="D24" s="54">
        <f>SUM(D23:D23)</f>
        <v>6756</v>
      </c>
      <c r="E24" s="40">
        <f>SUM(E23:E23)</f>
        <v>2.1798892631741977</v>
      </c>
      <c r="F24" s="41"/>
    </row>
    <row r="25" spans="1:6" ht="15">
      <c r="A25" s="29"/>
      <c r="B25" s="30"/>
      <c r="C25" s="42"/>
      <c r="D25" s="42"/>
      <c r="E25" s="42"/>
      <c r="F25" s="42"/>
    </row>
    <row r="26" spans="1:6" ht="29.25">
      <c r="A26" s="29"/>
      <c r="B26" s="30" t="s">
        <v>37</v>
      </c>
      <c r="C26" s="43">
        <f>D19+D24</f>
        <v>11459.246076514653</v>
      </c>
      <c r="D26" s="43"/>
      <c r="E26" s="43"/>
      <c r="F26" s="42"/>
    </row>
    <row r="27" spans="1:6" ht="15">
      <c r="A27" s="29"/>
      <c r="B27" s="30" t="s">
        <v>38</v>
      </c>
      <c r="C27" s="44">
        <f>E19+E24</f>
        <v>3.697437460962899</v>
      </c>
      <c r="D27" s="42"/>
      <c r="E27" s="42"/>
      <c r="F27" s="42"/>
    </row>
    <row r="28" spans="1:6" ht="4.5" customHeight="1">
      <c r="A28" s="29"/>
      <c r="B28" s="30"/>
      <c r="C28" s="44"/>
      <c r="D28" s="42"/>
      <c r="E28" s="42"/>
      <c r="F28" s="42"/>
    </row>
    <row r="29" spans="1:6" ht="15">
      <c r="A29" s="2"/>
      <c r="B29" s="2"/>
      <c r="C29" s="2"/>
      <c r="D29" s="2"/>
      <c r="E29" s="2"/>
      <c r="F29" s="2"/>
    </row>
    <row r="30" spans="1:6" ht="33" customHeight="1">
      <c r="A30" s="138" t="s">
        <v>39</v>
      </c>
      <c r="B30" s="138"/>
      <c r="C30" s="138"/>
      <c r="D30" s="138"/>
      <c r="E30" s="138"/>
      <c r="F30" s="138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4</v>
      </c>
      <c r="C32" s="9" t="s">
        <v>5</v>
      </c>
      <c r="D32" s="9" t="s">
        <v>6</v>
      </c>
      <c r="E32" s="9" t="s">
        <v>7</v>
      </c>
      <c r="F32" s="2"/>
    </row>
    <row r="33" spans="1:5" ht="15">
      <c r="A33" s="139" t="s">
        <v>40</v>
      </c>
      <c r="B33" s="139"/>
      <c r="C33" s="139"/>
      <c r="D33" s="12">
        <f>+D34</f>
        <v>30.992399999999996</v>
      </c>
      <c r="E33" s="12">
        <f>+E34</f>
        <v>0.01</v>
      </c>
    </row>
    <row r="34" spans="1:5" ht="30">
      <c r="A34" s="15">
        <v>1</v>
      </c>
      <c r="B34" s="45" t="s">
        <v>41</v>
      </c>
      <c r="C34" s="45" t="s">
        <v>213</v>
      </c>
      <c r="D34" s="17">
        <f>E34*12*$D$3</f>
        <v>30.992399999999996</v>
      </c>
      <c r="E34" s="46">
        <v>0.01</v>
      </c>
    </row>
    <row r="35" spans="1:5" ht="32.25" customHeight="1">
      <c r="A35" s="139" t="s">
        <v>43</v>
      </c>
      <c r="B35" s="139"/>
      <c r="C35" s="139"/>
      <c r="D35" s="12">
        <f>D36+D37</f>
        <v>247.93919999999997</v>
      </c>
      <c r="E35" s="12">
        <f>E36+E37</f>
        <v>0.08</v>
      </c>
    </row>
    <row r="36" spans="1:5" ht="46.5" customHeight="1">
      <c r="A36" s="15">
        <v>2</v>
      </c>
      <c r="B36" s="45" t="s">
        <v>44</v>
      </c>
      <c r="C36" s="45" t="s">
        <v>45</v>
      </c>
      <c r="D36" s="17">
        <f>E36*$D$3*12</f>
        <v>61.9848</v>
      </c>
      <c r="E36" s="46">
        <v>0.02</v>
      </c>
    </row>
    <row r="37" spans="1:5" ht="15">
      <c r="A37" s="15">
        <v>3</v>
      </c>
      <c r="B37" s="47" t="s">
        <v>46</v>
      </c>
      <c r="C37" s="8" t="s">
        <v>42</v>
      </c>
      <c r="D37" s="17">
        <f>E37*$D$3*12</f>
        <v>185.95439999999996</v>
      </c>
      <c r="E37" s="18">
        <v>0.06</v>
      </c>
    </row>
    <row r="38" spans="1:6" ht="15">
      <c r="A38" s="9"/>
      <c r="B38" s="27" t="s">
        <v>27</v>
      </c>
      <c r="C38" s="27"/>
      <c r="D38" s="48">
        <f>D33+D35</f>
        <v>278.93159999999995</v>
      </c>
      <c r="E38" s="12">
        <f>E33+E35</f>
        <v>0.09</v>
      </c>
      <c r="F38" s="6"/>
    </row>
    <row r="39" spans="1:6" ht="15">
      <c r="A39" s="2"/>
      <c r="B39" s="2"/>
      <c r="C39" s="2"/>
      <c r="D39" s="2"/>
      <c r="E39" s="2"/>
      <c r="F39" s="2"/>
    </row>
    <row r="41" spans="1:6" ht="105">
      <c r="A41" s="11" t="s">
        <v>28</v>
      </c>
      <c r="B41" s="11" t="s">
        <v>29</v>
      </c>
      <c r="C41" s="11" t="s">
        <v>30</v>
      </c>
      <c r="D41" s="11" t="s">
        <v>31</v>
      </c>
      <c r="E41" s="11" t="s">
        <v>32</v>
      </c>
      <c r="F41" s="11" t="s">
        <v>33</v>
      </c>
    </row>
    <row r="42" spans="1:6" ht="15">
      <c r="A42" s="11">
        <v>1</v>
      </c>
      <c r="B42" s="8" t="s">
        <v>123</v>
      </c>
      <c r="C42" s="11" t="s">
        <v>124</v>
      </c>
      <c r="D42" s="11">
        <v>1560</v>
      </c>
      <c r="E42" s="37">
        <f>D42/12/$D$3</f>
        <v>0.5033492081929763</v>
      </c>
      <c r="F42" s="38">
        <v>2</v>
      </c>
    </row>
    <row r="43" spans="1:6" ht="15">
      <c r="A43" s="11"/>
      <c r="B43" s="39" t="s">
        <v>36</v>
      </c>
      <c r="C43" s="10"/>
      <c r="D43" s="54">
        <f>SUM(D42:D42)</f>
        <v>1560</v>
      </c>
      <c r="E43" s="40">
        <f>SUM(E42:E42)</f>
        <v>0.5033492081929763</v>
      </c>
      <c r="F43" s="41"/>
    </row>
    <row r="46" spans="2:3" ht="29.25">
      <c r="B46" s="30" t="s">
        <v>327</v>
      </c>
      <c r="C46" s="43">
        <f>C26</f>
        <v>11459.246076514653</v>
      </c>
    </row>
  </sheetData>
  <sheetProtection/>
  <mergeCells count="8">
    <mergeCell ref="A35:C35"/>
    <mergeCell ref="A11:C11"/>
    <mergeCell ref="A14:C14"/>
    <mergeCell ref="A17:C17"/>
    <mergeCell ref="A5:E5"/>
    <mergeCell ref="A30:F30"/>
    <mergeCell ref="A33:C33"/>
    <mergeCell ref="A8:C8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2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394</v>
      </c>
    </row>
    <row r="2" spans="1:6" ht="39" customHeight="1">
      <c r="A2" s="2"/>
      <c r="B2" s="1" t="s">
        <v>395</v>
      </c>
      <c r="C2" s="4"/>
      <c r="D2" s="5">
        <v>84.55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740.141841156612</v>
      </c>
      <c r="E7" s="12">
        <f>SUM(E8:E9)</f>
        <v>0.7294912686345477</v>
      </c>
      <c r="F7" s="19"/>
      <c r="G7" s="125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677.1654539401758</v>
      </c>
      <c r="E8" s="20">
        <v>0.6674211057955607</v>
      </c>
      <c r="F8" s="21"/>
      <c r="G8" s="127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62.97638721643627</v>
      </c>
      <c r="E9" s="17">
        <v>0.06207016283898706</v>
      </c>
      <c r="F9" s="21"/>
      <c r="G9" s="127"/>
    </row>
    <row r="10" spans="1:7" ht="15">
      <c r="A10" s="140" t="s">
        <v>64</v>
      </c>
      <c r="B10" s="143"/>
      <c r="C10" s="144"/>
      <c r="D10" s="23">
        <f>SUM(D11:D12)</f>
        <v>311.557768357937</v>
      </c>
      <c r="E10" s="23">
        <f>SUM(E11:E12)</f>
        <v>0.3070744809362675</v>
      </c>
      <c r="F10" s="21"/>
      <c r="G10" s="125"/>
    </row>
    <row r="11" spans="1:7" ht="15">
      <c r="A11" s="15">
        <v>3</v>
      </c>
      <c r="B11" s="22" t="s">
        <v>396</v>
      </c>
      <c r="C11" s="22" t="s">
        <v>18</v>
      </c>
      <c r="D11" s="17">
        <f>E11*12*$D$2</f>
        <v>47.19022995124923</v>
      </c>
      <c r="E11" s="18">
        <v>0.04651116691430045</v>
      </c>
      <c r="F11" s="103"/>
      <c r="G11" s="127"/>
    </row>
    <row r="12" spans="1:7" ht="60">
      <c r="A12" s="15">
        <v>4</v>
      </c>
      <c r="B12" s="22" t="s">
        <v>311</v>
      </c>
      <c r="C12" s="22" t="s">
        <v>18</v>
      </c>
      <c r="D12" s="17">
        <f>E12*12*$D$2</f>
        <v>264.36753840668774</v>
      </c>
      <c r="E12" s="17">
        <v>0.26056331402196703</v>
      </c>
      <c r="F12" s="2"/>
      <c r="G12" s="127"/>
    </row>
    <row r="13" spans="1:7" ht="15">
      <c r="A13" s="145" t="s">
        <v>67</v>
      </c>
      <c r="B13" s="146"/>
      <c r="C13" s="146"/>
      <c r="D13" s="24">
        <f>SUM(D14:D15)</f>
        <v>2062.741327072807</v>
      </c>
      <c r="E13" s="24">
        <f>SUM(E14:E15)</f>
        <v>2.033058670483745</v>
      </c>
      <c r="F13" s="2"/>
      <c r="G13" s="125"/>
    </row>
    <row r="14" spans="1:7" ht="75">
      <c r="A14" s="15">
        <v>5</v>
      </c>
      <c r="B14" s="22" t="s">
        <v>98</v>
      </c>
      <c r="C14" s="22" t="s">
        <v>18</v>
      </c>
      <c r="D14" s="17">
        <f>E14*12*$D$2</f>
        <v>239.8502519962851</v>
      </c>
      <c r="E14" s="17">
        <v>0.23639882909154847</v>
      </c>
      <c r="F14" s="2"/>
      <c r="G14" s="127"/>
    </row>
    <row r="15" spans="1:7" ht="90">
      <c r="A15" s="15">
        <v>6</v>
      </c>
      <c r="B15" s="22" t="s">
        <v>22</v>
      </c>
      <c r="C15" s="22" t="s">
        <v>79</v>
      </c>
      <c r="D15" s="17">
        <f>E15*12*$D$2</f>
        <v>1822.8910750765222</v>
      </c>
      <c r="E15" s="20">
        <v>1.7966598413921964</v>
      </c>
      <c r="F15" s="2"/>
      <c r="G15" s="127"/>
    </row>
    <row r="16" spans="1:7" ht="15">
      <c r="A16" s="145" t="s">
        <v>70</v>
      </c>
      <c r="B16" s="145"/>
      <c r="C16" s="145"/>
      <c r="D16" s="25">
        <f>SUM(D17)</f>
        <v>357.4989376847751</v>
      </c>
      <c r="E16" s="25">
        <f>SUM(E17)</f>
        <v>0.35235456109281993</v>
      </c>
      <c r="F16" s="2"/>
      <c r="G16" s="125"/>
    </row>
    <row r="17" spans="1:7" ht="15">
      <c r="A17" s="15">
        <v>7</v>
      </c>
      <c r="B17" s="22" t="s">
        <v>25</v>
      </c>
      <c r="C17" s="22" t="s">
        <v>26</v>
      </c>
      <c r="D17" s="17">
        <f>E17*12*$D$2</f>
        <v>357.4989376847751</v>
      </c>
      <c r="E17" s="26">
        <v>0.35235456109281993</v>
      </c>
      <c r="F17" s="2"/>
      <c r="G17" s="127"/>
    </row>
    <row r="18" spans="1:7" ht="15">
      <c r="A18" s="9"/>
      <c r="B18" s="27" t="s">
        <v>27</v>
      </c>
      <c r="C18" s="27"/>
      <c r="D18" s="48">
        <f>+D7+D10+D13+D16</f>
        <v>3471.9398742721314</v>
      </c>
      <c r="E18" s="12">
        <f>+E7+E10+E13+E16</f>
        <v>3.42197898114738</v>
      </c>
      <c r="F18" s="6"/>
      <c r="G18" s="125"/>
    </row>
    <row r="19" spans="1:7" ht="15">
      <c r="A19" s="29"/>
      <c r="B19" s="30"/>
      <c r="C19" s="31"/>
      <c r="D19" s="32"/>
      <c r="E19" s="33"/>
      <c r="F19" s="2"/>
      <c r="G19" s="126"/>
    </row>
    <row r="20" spans="1:6" ht="15">
      <c r="A20" s="34"/>
      <c r="B20" s="34"/>
      <c r="C20" s="34"/>
      <c r="D20" s="34"/>
      <c r="E20" s="34"/>
      <c r="F20" s="35"/>
    </row>
    <row r="21" spans="1:6" ht="105">
      <c r="A21" s="11" t="s">
        <v>28</v>
      </c>
      <c r="B21" s="11" t="s">
        <v>29</v>
      </c>
      <c r="C21" s="11" t="s">
        <v>30</v>
      </c>
      <c r="D21" s="11" t="s">
        <v>31</v>
      </c>
      <c r="E21" s="11" t="s">
        <v>32</v>
      </c>
      <c r="F21" s="11" t="s">
        <v>33</v>
      </c>
    </row>
    <row r="22" spans="1:6" ht="15">
      <c r="A22" s="11">
        <v>1</v>
      </c>
      <c r="B22" s="8" t="s">
        <v>123</v>
      </c>
      <c r="C22" s="11" t="s">
        <v>81</v>
      </c>
      <c r="D22" s="11">
        <v>2210</v>
      </c>
      <c r="E22" s="37">
        <f>D22/12/$D$2</f>
        <v>2.178198304750641</v>
      </c>
      <c r="F22" s="38">
        <v>2</v>
      </c>
    </row>
    <row r="23" spans="1:6" ht="15">
      <c r="A23" s="11"/>
      <c r="B23" s="39" t="s">
        <v>36</v>
      </c>
      <c r="C23" s="10"/>
      <c r="D23" s="54">
        <f>SUM(D22:D22)</f>
        <v>2210</v>
      </c>
      <c r="E23" s="40">
        <f>SUM(E22:E22)</f>
        <v>2.178198304750641</v>
      </c>
      <c r="F23" s="41"/>
    </row>
    <row r="24" spans="1:6" ht="15">
      <c r="A24" s="29"/>
      <c r="B24" s="30"/>
      <c r="C24" s="42"/>
      <c r="D24" s="42"/>
      <c r="E24" s="42"/>
      <c r="F24" s="42"/>
    </row>
    <row r="25" spans="1:6" ht="29.25">
      <c r="A25" s="29"/>
      <c r="B25" s="30" t="s">
        <v>37</v>
      </c>
      <c r="C25" s="43">
        <f>D18+D23</f>
        <v>5681.939874272131</v>
      </c>
      <c r="D25" s="43"/>
      <c r="E25" s="43"/>
      <c r="F25" s="42"/>
    </row>
    <row r="26" spans="1:6" ht="15">
      <c r="A26" s="29"/>
      <c r="B26" s="30" t="s">
        <v>38</v>
      </c>
      <c r="C26" s="44">
        <f>E18+E23</f>
        <v>5.60017728589802</v>
      </c>
      <c r="D26" s="42"/>
      <c r="E26" s="42"/>
      <c r="F26" s="42"/>
    </row>
    <row r="27" spans="1:6" ht="15">
      <c r="A27" s="29"/>
      <c r="B27" s="30"/>
      <c r="C27" s="44"/>
      <c r="D27" s="42"/>
      <c r="E27" s="42"/>
      <c r="F27" s="42"/>
    </row>
    <row r="28" spans="1:6" ht="15">
      <c r="A28" s="2"/>
      <c r="B28" s="2"/>
      <c r="C28" s="2"/>
      <c r="D28" s="2"/>
      <c r="E28" s="2"/>
      <c r="F28" s="2"/>
    </row>
    <row r="29" spans="1:6" ht="33" customHeight="1">
      <c r="A29" s="138" t="s">
        <v>39</v>
      </c>
      <c r="B29" s="138"/>
      <c r="C29" s="138"/>
      <c r="D29" s="138"/>
      <c r="E29" s="138"/>
      <c r="F29" s="138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4</v>
      </c>
      <c r="C31" s="9" t="s">
        <v>5</v>
      </c>
      <c r="D31" s="9" t="s">
        <v>6</v>
      </c>
      <c r="E31" s="9" t="s">
        <v>7</v>
      </c>
      <c r="F31" s="2"/>
    </row>
    <row r="32" spans="1:5" ht="32.25" customHeight="1">
      <c r="A32" s="139" t="s">
        <v>312</v>
      </c>
      <c r="B32" s="139"/>
      <c r="C32" s="139"/>
      <c r="D32" s="12">
        <f>D33+D34</f>
        <v>81.16799999999999</v>
      </c>
      <c r="E32" s="12">
        <f>E33+E34</f>
        <v>0.08</v>
      </c>
    </row>
    <row r="33" spans="1:5" ht="46.5" customHeight="1">
      <c r="A33" s="15">
        <v>1</v>
      </c>
      <c r="B33" s="45" t="s">
        <v>44</v>
      </c>
      <c r="C33" s="45" t="s">
        <v>45</v>
      </c>
      <c r="D33" s="17">
        <f>E33*$D$2*12</f>
        <v>20.292</v>
      </c>
      <c r="E33" s="46">
        <v>0.02</v>
      </c>
    </row>
    <row r="34" spans="1:5" ht="15">
      <c r="A34" s="15">
        <v>2</v>
      </c>
      <c r="B34" s="47" t="s">
        <v>46</v>
      </c>
      <c r="C34" s="8" t="s">
        <v>42</v>
      </c>
      <c r="D34" s="17">
        <f>E34*$D$2*12</f>
        <v>60.87599999999999</v>
      </c>
      <c r="E34" s="18">
        <v>0.06</v>
      </c>
    </row>
    <row r="35" spans="1:6" ht="15">
      <c r="A35" s="9"/>
      <c r="B35" s="27" t="s">
        <v>27</v>
      </c>
      <c r="C35" s="27"/>
      <c r="D35" s="48">
        <f>+D32</f>
        <v>81.16799999999999</v>
      </c>
      <c r="E35" s="12">
        <f>+E32</f>
        <v>0.08</v>
      </c>
      <c r="F35" s="6"/>
    </row>
    <row r="36" spans="1:6" ht="15">
      <c r="A36" s="2"/>
      <c r="B36" s="2"/>
      <c r="C36" s="2"/>
      <c r="D36" s="2"/>
      <c r="E36" s="2"/>
      <c r="F36" s="2"/>
    </row>
    <row r="37" spans="1:6" ht="15">
      <c r="A37" s="34"/>
      <c r="B37" s="34"/>
      <c r="C37" s="34"/>
      <c r="D37" s="34"/>
      <c r="E37" s="34"/>
      <c r="F37" s="35"/>
    </row>
    <row r="38" spans="1:6" ht="105">
      <c r="A38" s="11" t="s">
        <v>28</v>
      </c>
      <c r="B38" s="11" t="s">
        <v>29</v>
      </c>
      <c r="C38" s="11" t="s">
        <v>30</v>
      </c>
      <c r="D38" s="11" t="s">
        <v>31</v>
      </c>
      <c r="E38" s="11" t="s">
        <v>47</v>
      </c>
      <c r="F38" s="11" t="s">
        <v>33</v>
      </c>
    </row>
    <row r="39" spans="1:6" ht="15">
      <c r="A39" s="11">
        <v>1</v>
      </c>
      <c r="B39" s="8" t="s">
        <v>123</v>
      </c>
      <c r="C39" s="11" t="s">
        <v>48</v>
      </c>
      <c r="D39" s="36">
        <v>1100</v>
      </c>
      <c r="E39" s="50">
        <f>D39/12/$D$2</f>
        <v>1.0841711019120837</v>
      </c>
      <c r="F39" s="38">
        <v>2</v>
      </c>
    </row>
    <row r="40" spans="1:6" ht="15">
      <c r="A40" s="51"/>
      <c r="B40" s="51" t="s">
        <v>36</v>
      </c>
      <c r="C40" s="51"/>
      <c r="D40" s="52">
        <f>SUM(D39:D39)</f>
        <v>1100</v>
      </c>
      <c r="E40" s="53">
        <f>SUM(E39:E39)</f>
        <v>1.0841711019120837</v>
      </c>
      <c r="F40" s="51"/>
    </row>
    <row r="43" spans="2:3" ht="29.25">
      <c r="B43" s="30" t="s">
        <v>397</v>
      </c>
      <c r="C43" s="43">
        <v>5681.939874272131</v>
      </c>
    </row>
  </sheetData>
  <sheetProtection/>
  <mergeCells count="7">
    <mergeCell ref="A4:E4"/>
    <mergeCell ref="A29:F29"/>
    <mergeCell ref="A32:C32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39"/>
  <sheetViews>
    <sheetView zoomScale="75" zoomScaleNormal="75" workbookViewId="0" topLeftCell="A13">
      <selection activeCell="D11" sqref="D11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8.75" customHeight="1">
      <c r="B1" s="59" t="s">
        <v>484</v>
      </c>
    </row>
    <row r="2" spans="1:6" ht="19.5" customHeight="1">
      <c r="A2" s="2"/>
      <c r="B2" s="1" t="s">
        <v>481</v>
      </c>
      <c r="C2" s="4"/>
      <c r="D2" s="5">
        <v>109.5</v>
      </c>
      <c r="E2" s="6" t="s">
        <v>2</v>
      </c>
      <c r="F2" s="2"/>
    </row>
    <row r="3" spans="1:6" ht="13.5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8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SUM(D8:D8)</f>
        <v>687.5354552774069</v>
      </c>
      <c r="E7" s="12">
        <f>SUM(E8:E8)</f>
        <v>0.5232385504394268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687.5354552774069</v>
      </c>
      <c r="E8" s="60">
        <v>0.5232385504394268</v>
      </c>
      <c r="F8" s="21"/>
    </row>
    <row r="9" spans="1:6" ht="29.25" customHeight="1">
      <c r="A9" s="140" t="s">
        <v>64</v>
      </c>
      <c r="B9" s="143"/>
      <c r="C9" s="144"/>
      <c r="D9" s="23">
        <f>SUM(D10:D11)</f>
        <v>247.92260230421385</v>
      </c>
      <c r="E9" s="23">
        <f>SUM(E10:E11)</f>
        <v>0.18867777953136516</v>
      </c>
      <c r="F9" s="21"/>
    </row>
    <row r="10" spans="1:6" ht="36" customHeight="1">
      <c r="A10" s="15">
        <v>2</v>
      </c>
      <c r="B10" s="22" t="s">
        <v>17</v>
      </c>
      <c r="C10" s="22" t="s">
        <v>18</v>
      </c>
      <c r="D10" s="17">
        <f>E10*12*$D$2</f>
        <v>94.38045990249843</v>
      </c>
      <c r="E10" s="60">
        <v>0.07182683402016624</v>
      </c>
      <c r="F10" s="13"/>
    </row>
    <row r="11" spans="1:6" ht="60">
      <c r="A11" s="15">
        <v>3</v>
      </c>
      <c r="B11" s="22" t="s">
        <v>19</v>
      </c>
      <c r="C11" s="22" t="s">
        <v>18</v>
      </c>
      <c r="D11" s="17">
        <f>E11*12*$D$2</f>
        <v>153.5421424017154</v>
      </c>
      <c r="E11" s="60">
        <v>0.11685094551119894</v>
      </c>
      <c r="F11" s="2"/>
    </row>
    <row r="12" spans="1:9" ht="15">
      <c r="A12" s="145" t="s">
        <v>67</v>
      </c>
      <c r="B12" s="146"/>
      <c r="C12" s="146"/>
      <c r="D12" s="24">
        <f>SUM(D13:D14)</f>
        <v>2593.401073533372</v>
      </c>
      <c r="E12" s="24">
        <f>SUM(E13:E14)</f>
        <v>1.9736690057331596</v>
      </c>
      <c r="F12" s="2"/>
      <c r="H12" s="64"/>
      <c r="I12" s="65"/>
    </row>
    <row r="13" spans="1:10" ht="60">
      <c r="A13" s="15">
        <v>4</v>
      </c>
      <c r="B13" s="22" t="s">
        <v>86</v>
      </c>
      <c r="C13" s="22" t="s">
        <v>18</v>
      </c>
      <c r="D13" s="17">
        <f>E13*12*$D$2</f>
        <v>236.3558566754128</v>
      </c>
      <c r="E13" s="83">
        <v>0.1798750811837236</v>
      </c>
      <c r="F13" s="2"/>
      <c r="H13" s="85"/>
      <c r="I13" s="64"/>
      <c r="J13" s="65"/>
    </row>
    <row r="14" spans="1:10" ht="75">
      <c r="A14" s="15">
        <v>5</v>
      </c>
      <c r="B14" s="22" t="s">
        <v>22</v>
      </c>
      <c r="C14" s="22" t="s">
        <v>23</v>
      </c>
      <c r="D14" s="17">
        <f>E14*12*$D$2</f>
        <v>2357.045216857959</v>
      </c>
      <c r="E14" s="83">
        <v>1.793793924549436</v>
      </c>
      <c r="F14" s="2"/>
      <c r="H14" s="85"/>
      <c r="I14" s="64"/>
      <c r="J14" s="65"/>
    </row>
    <row r="15" spans="1:6" ht="15">
      <c r="A15" s="145" t="s">
        <v>70</v>
      </c>
      <c r="B15" s="145"/>
      <c r="C15" s="145"/>
      <c r="D15" s="25">
        <f>SUM(D16)</f>
        <v>358.9560258566439</v>
      </c>
      <c r="E15" s="23">
        <f>SUM(E16)</f>
        <v>0.273178101869592</v>
      </c>
      <c r="F15" s="2"/>
    </row>
    <row r="16" spans="1:11" ht="15">
      <c r="A16" s="15">
        <v>6</v>
      </c>
      <c r="B16" s="22" t="s">
        <v>25</v>
      </c>
      <c r="C16" s="22" t="s">
        <v>26</v>
      </c>
      <c r="D16" s="17">
        <f>E16*12*$D$2</f>
        <v>358.9560258566439</v>
      </c>
      <c r="E16" s="83">
        <f>0.274348101869592-0.00117</f>
        <v>0.273178101869592</v>
      </c>
      <c r="F16" s="2"/>
      <c r="H16" s="113"/>
      <c r="I16" s="85"/>
      <c r="J16" s="80"/>
      <c r="K16" s="56"/>
    </row>
    <row r="17" spans="1:6" ht="15">
      <c r="A17" s="9"/>
      <c r="B17" s="27" t="s">
        <v>27</v>
      </c>
      <c r="C17" s="27"/>
      <c r="D17" s="74">
        <f>D7+D9+D12+D15</f>
        <v>3887.8151569716365</v>
      </c>
      <c r="E17" s="12">
        <f>E7+E9+E12+E15</f>
        <v>2.9587634375735434</v>
      </c>
      <c r="F17" s="6"/>
    </row>
    <row r="18" spans="1:6" ht="15">
      <c r="A18" s="29"/>
      <c r="B18" s="30"/>
      <c r="C18" s="31"/>
      <c r="D18" s="32"/>
      <c r="E18" s="33"/>
      <c r="F18" s="2"/>
    </row>
    <row r="19" spans="1:6" ht="105">
      <c r="A19" s="11" t="s">
        <v>28</v>
      </c>
      <c r="B19" s="11" t="s">
        <v>29</v>
      </c>
      <c r="C19" s="11" t="s">
        <v>30</v>
      </c>
      <c r="D19" s="11" t="s">
        <v>31</v>
      </c>
      <c r="E19" s="11" t="s">
        <v>32</v>
      </c>
      <c r="F19" s="11" t="s">
        <v>33</v>
      </c>
    </row>
    <row r="20" spans="1:6" ht="15">
      <c r="A20" s="11">
        <v>1</v>
      </c>
      <c r="B20" s="8" t="s">
        <v>123</v>
      </c>
      <c r="C20" s="11" t="s">
        <v>51</v>
      </c>
      <c r="D20" s="11">
        <v>2862.2</v>
      </c>
      <c r="E20" s="37">
        <f>D20/12/$D$2</f>
        <v>2.178234398782344</v>
      </c>
      <c r="F20" s="38">
        <v>2</v>
      </c>
    </row>
    <row r="21" spans="1:6" ht="15">
      <c r="A21" s="11"/>
      <c r="B21" s="39" t="s">
        <v>36</v>
      </c>
      <c r="C21" s="10"/>
      <c r="D21" s="54">
        <f>SUM(D20:D20)</f>
        <v>2862.2</v>
      </c>
      <c r="E21" s="40">
        <f>SUM(E20:E20)</f>
        <v>2.178234398782344</v>
      </c>
      <c r="F21" s="41"/>
    </row>
    <row r="22" spans="1:6" ht="15">
      <c r="A22" s="42"/>
      <c r="B22" s="66"/>
      <c r="C22" s="67"/>
      <c r="D22" s="106"/>
      <c r="E22" s="69"/>
      <c r="F22" s="70"/>
    </row>
    <row r="23" spans="1:6" ht="29.25">
      <c r="A23" s="29"/>
      <c r="B23" s="30" t="s">
        <v>37</v>
      </c>
      <c r="C23" s="43">
        <f>D17+D21</f>
        <v>6750.015156971636</v>
      </c>
      <c r="D23" s="43"/>
      <c r="E23" s="43"/>
      <c r="F23" s="42"/>
    </row>
    <row r="24" spans="1:6" ht="15">
      <c r="A24" s="29"/>
      <c r="B24" s="30" t="s">
        <v>38</v>
      </c>
      <c r="C24" s="44">
        <f>E17+E21</f>
        <v>5.136997836355887</v>
      </c>
      <c r="D24" s="42"/>
      <c r="E24" s="42"/>
      <c r="F24" s="42"/>
    </row>
    <row r="25" spans="1:6" ht="64.5" customHeight="1">
      <c r="A25" s="29"/>
      <c r="B25" s="30"/>
      <c r="C25" s="44"/>
      <c r="D25" s="42"/>
      <c r="E25" s="42"/>
      <c r="F25" s="42"/>
    </row>
    <row r="26" spans="1:6" ht="33" customHeight="1">
      <c r="A26" s="138" t="s">
        <v>39</v>
      </c>
      <c r="B26" s="138"/>
      <c r="C26" s="138"/>
      <c r="D26" s="138"/>
      <c r="E26" s="138"/>
      <c r="F26" s="138"/>
    </row>
    <row r="27" spans="1:6" ht="15">
      <c r="A27" s="1"/>
      <c r="B27" s="1"/>
      <c r="C27" s="1"/>
      <c r="D27" s="2"/>
      <c r="E27" s="2"/>
      <c r="F27" s="2"/>
    </row>
    <row r="28" spans="1:6" ht="71.25">
      <c r="A28" s="8"/>
      <c r="B28" s="9" t="s">
        <v>4</v>
      </c>
      <c r="C28" s="9" t="s">
        <v>5</v>
      </c>
      <c r="D28" s="9" t="s">
        <v>6</v>
      </c>
      <c r="E28" s="9" t="s">
        <v>7</v>
      </c>
      <c r="F28" s="2"/>
    </row>
    <row r="29" spans="1:5" ht="33" customHeight="1">
      <c r="A29" s="139" t="s">
        <v>40</v>
      </c>
      <c r="B29" s="139"/>
      <c r="C29" s="139"/>
      <c r="D29" s="12">
        <f>D30</f>
        <v>13.139999999999999</v>
      </c>
      <c r="E29" s="12">
        <f>E30</f>
        <v>0.01</v>
      </c>
    </row>
    <row r="30" spans="1:5" ht="30">
      <c r="A30" s="15">
        <v>1</v>
      </c>
      <c r="B30" s="45" t="s">
        <v>41</v>
      </c>
      <c r="C30" s="45" t="s">
        <v>42</v>
      </c>
      <c r="D30" s="17">
        <f>E30*12*$D$2</f>
        <v>13.139999999999999</v>
      </c>
      <c r="E30" s="46">
        <v>0.01</v>
      </c>
    </row>
    <row r="31" spans="1:5" ht="32.25" customHeight="1">
      <c r="A31" s="139" t="s">
        <v>43</v>
      </c>
      <c r="B31" s="139"/>
      <c r="C31" s="139"/>
      <c r="D31" s="12">
        <f>D32</f>
        <v>78.83999999999999</v>
      </c>
      <c r="E31" s="12">
        <f>E32</f>
        <v>0.06</v>
      </c>
    </row>
    <row r="32" spans="1:5" ht="15">
      <c r="A32" s="15">
        <v>2</v>
      </c>
      <c r="B32" s="47" t="s">
        <v>46</v>
      </c>
      <c r="C32" s="8" t="s">
        <v>42</v>
      </c>
      <c r="D32" s="17">
        <f>E32*$D$2*12</f>
        <v>78.83999999999999</v>
      </c>
      <c r="E32" s="18">
        <v>0.06</v>
      </c>
    </row>
    <row r="33" spans="1:6" ht="15">
      <c r="A33" s="9"/>
      <c r="B33" s="27" t="s">
        <v>27</v>
      </c>
      <c r="C33" s="27"/>
      <c r="D33" s="48">
        <f>D29+D31</f>
        <v>91.97999999999999</v>
      </c>
      <c r="E33" s="12">
        <f>E29+E31</f>
        <v>0.06999999999999999</v>
      </c>
      <c r="F33" s="6"/>
    </row>
    <row r="34" spans="1:6" ht="15">
      <c r="A34" s="2"/>
      <c r="B34" s="2"/>
      <c r="C34" s="2"/>
      <c r="D34" s="2"/>
      <c r="E34" s="2"/>
      <c r="F34" s="2"/>
    </row>
    <row r="35" spans="1:6" ht="105">
      <c r="A35" s="11" t="s">
        <v>28</v>
      </c>
      <c r="B35" s="11" t="s">
        <v>29</v>
      </c>
      <c r="C35" s="11" t="s">
        <v>30</v>
      </c>
      <c r="D35" s="11" t="s">
        <v>31</v>
      </c>
      <c r="E35" s="11" t="s">
        <v>32</v>
      </c>
      <c r="F35" s="11" t="s">
        <v>33</v>
      </c>
    </row>
    <row r="36" spans="1:6" ht="15">
      <c r="A36" s="11">
        <v>1</v>
      </c>
      <c r="B36" s="8" t="s">
        <v>123</v>
      </c>
      <c r="C36" s="11" t="s">
        <v>124</v>
      </c>
      <c r="D36" s="11">
        <v>1141.5</v>
      </c>
      <c r="E36" s="37">
        <f>D36/12/$D$2</f>
        <v>0.8687214611872146</v>
      </c>
      <c r="F36" s="38">
        <v>2</v>
      </c>
    </row>
    <row r="37" spans="1:6" ht="15">
      <c r="A37" s="11"/>
      <c r="B37" s="39" t="s">
        <v>36</v>
      </c>
      <c r="C37" s="10"/>
      <c r="D37" s="54">
        <f>SUM(D36:D36)</f>
        <v>1141.5</v>
      </c>
      <c r="E37" s="40">
        <f>SUM(E36:E36)</f>
        <v>0.8687214611872146</v>
      </c>
      <c r="F37" s="41"/>
    </row>
    <row r="39" spans="2:4" ht="43.5">
      <c r="B39" s="30" t="s">
        <v>483</v>
      </c>
      <c r="D39" s="81">
        <v>6750.015156971636</v>
      </c>
    </row>
  </sheetData>
  <mergeCells count="8">
    <mergeCell ref="A15:C15"/>
    <mergeCell ref="A26:F26"/>
    <mergeCell ref="A29:C29"/>
    <mergeCell ref="A31:C31"/>
    <mergeCell ref="A4:E4"/>
    <mergeCell ref="A7:C7"/>
    <mergeCell ref="A9:C9"/>
    <mergeCell ref="A12:C12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workbookViewId="0" topLeftCell="A22">
      <selection activeCell="D8" sqref="D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8.75" customHeight="1">
      <c r="B1" s="59" t="s">
        <v>239</v>
      </c>
    </row>
    <row r="2" spans="1:6" ht="19.5" customHeight="1">
      <c r="A2" s="2"/>
      <c r="B2" s="1" t="s">
        <v>240</v>
      </c>
      <c r="C2" s="4"/>
      <c r="D2" s="5">
        <v>174.7</v>
      </c>
      <c r="E2" s="6" t="s">
        <v>2</v>
      </c>
      <c r="F2" s="2"/>
    </row>
    <row r="3" spans="1:6" ht="13.5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8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1184.2269458505787</v>
      </c>
      <c r="E7" s="12">
        <f>SUM(E8:E9)</f>
        <v>0.5648859692093964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1083.4647263042805</v>
      </c>
      <c r="E8" s="60">
        <v>0.5168215637780388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100.7622195462981</v>
      </c>
      <c r="E9" s="60">
        <v>0.048064405431357614</v>
      </c>
      <c r="F9" s="21"/>
    </row>
    <row r="10" spans="1:6" ht="15.75" customHeight="1">
      <c r="A10" s="140" t="s">
        <v>64</v>
      </c>
      <c r="B10" s="143"/>
      <c r="C10" s="144"/>
      <c r="D10" s="23">
        <f>SUM(D11:D12)</f>
        <v>472.7633756944017</v>
      </c>
      <c r="E10" s="23">
        <f>SUM(E11:E12)</f>
        <v>0.22551200901278462</v>
      </c>
      <c r="F10" s="21"/>
    </row>
    <row r="11" spans="1:6" ht="36" customHeight="1">
      <c r="A11" s="15">
        <v>3</v>
      </c>
      <c r="B11" s="22" t="s">
        <v>17</v>
      </c>
      <c r="C11" s="22" t="s">
        <v>18</v>
      </c>
      <c r="D11" s="17">
        <f>E11*12*$D$2</f>
        <v>47.19022995124922</v>
      </c>
      <c r="E11" s="60">
        <v>0.02251012686092789</v>
      </c>
      <c r="F11" s="13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425.57314574315245</v>
      </c>
      <c r="E12" s="60">
        <v>0.20300188215185672</v>
      </c>
      <c r="F12" s="2"/>
    </row>
    <row r="13" spans="1:9" ht="15">
      <c r="A13" s="145" t="s">
        <v>67</v>
      </c>
      <c r="B13" s="146"/>
      <c r="C13" s="146"/>
      <c r="D13" s="24">
        <f>SUM(D14:D15)</f>
        <v>2244.917300279737</v>
      </c>
      <c r="E13" s="24">
        <f>SUM(E14:E15)</f>
        <v>1.0708439707497313</v>
      </c>
      <c r="F13" s="2"/>
      <c r="H13" s="64"/>
      <c r="I13" s="65"/>
    </row>
    <row r="14" spans="1:10" ht="60">
      <c r="A14" s="15">
        <v>5</v>
      </c>
      <c r="B14" s="22" t="s">
        <v>86</v>
      </c>
      <c r="C14" s="22" t="s">
        <v>18</v>
      </c>
      <c r="D14" s="17">
        <f>E14*12*$D$2</f>
        <v>217.6505844440831</v>
      </c>
      <c r="E14" s="83">
        <v>0.10382111450299711</v>
      </c>
      <c r="F14" s="2"/>
      <c r="H14" s="85"/>
      <c r="I14" s="64"/>
      <c r="J14" s="65"/>
    </row>
    <row r="15" spans="1:10" ht="75">
      <c r="A15" s="15">
        <v>6</v>
      </c>
      <c r="B15" s="22" t="s">
        <v>22</v>
      </c>
      <c r="C15" s="22" t="s">
        <v>23</v>
      </c>
      <c r="D15" s="17">
        <f>E15*12*$D$2</f>
        <v>2027.2667158356537</v>
      </c>
      <c r="E15" s="83">
        <v>0.9670228562467342</v>
      </c>
      <c r="F15" s="2"/>
      <c r="H15" s="85"/>
      <c r="I15" s="64"/>
      <c r="J15" s="65"/>
    </row>
    <row r="16" spans="1:6" ht="15">
      <c r="A16" s="145" t="s">
        <v>70</v>
      </c>
      <c r="B16" s="145"/>
      <c r="C16" s="145"/>
      <c r="D16" s="25">
        <f>SUM(D17)</f>
        <v>314.1566512196825</v>
      </c>
      <c r="E16" s="23">
        <f>SUM(E17)</f>
        <v>0.149855300142951</v>
      </c>
      <c r="F16" s="2"/>
    </row>
    <row r="17" spans="1:9" ht="15">
      <c r="A17" s="15">
        <v>7</v>
      </c>
      <c r="B17" s="22" t="s">
        <v>25</v>
      </c>
      <c r="C17" s="22" t="s">
        <v>26</v>
      </c>
      <c r="D17" s="17">
        <f>E17*12*$D$2</f>
        <v>314.1566512196825</v>
      </c>
      <c r="E17" s="83">
        <f>0.137255300142951+0.0126</f>
        <v>0.149855300142951</v>
      </c>
      <c r="F17" s="2"/>
      <c r="H17" s="85"/>
      <c r="I17" s="80"/>
    </row>
    <row r="18" spans="1:6" ht="15">
      <c r="A18" s="9"/>
      <c r="B18" s="27" t="s">
        <v>27</v>
      </c>
      <c r="C18" s="27"/>
      <c r="D18" s="74">
        <f>D7+D10+D13+D16</f>
        <v>4216.0642730444</v>
      </c>
      <c r="E18" s="12">
        <f>E7+E10+E13+E16</f>
        <v>2.0110972491148633</v>
      </c>
      <c r="F18" s="6"/>
    </row>
    <row r="19" spans="1:6" ht="15">
      <c r="A19" s="29"/>
      <c r="B19" s="30"/>
      <c r="C19" s="31"/>
      <c r="D19" s="32"/>
      <c r="E19" s="33"/>
      <c r="F19" s="2"/>
    </row>
    <row r="20" spans="1:6" ht="105">
      <c r="A20" s="11" t="s">
        <v>28</v>
      </c>
      <c r="B20" s="11" t="s">
        <v>29</v>
      </c>
      <c r="C20" s="11" t="s">
        <v>30</v>
      </c>
      <c r="D20" s="11" t="s">
        <v>31</v>
      </c>
      <c r="E20" s="11" t="s">
        <v>32</v>
      </c>
      <c r="F20" s="11" t="s">
        <v>33</v>
      </c>
    </row>
    <row r="21" spans="1:6" ht="15">
      <c r="A21" s="11">
        <v>1</v>
      </c>
      <c r="B21" s="8" t="s">
        <v>123</v>
      </c>
      <c r="C21" s="11" t="s">
        <v>35</v>
      </c>
      <c r="D21" s="11">
        <v>4570</v>
      </c>
      <c r="E21" s="37">
        <f>D21/12/$D$2</f>
        <v>2.17992749475291</v>
      </c>
      <c r="F21" s="38">
        <v>2</v>
      </c>
    </row>
    <row r="22" spans="1:6" ht="15">
      <c r="A22" s="11"/>
      <c r="B22" s="39" t="s">
        <v>36</v>
      </c>
      <c r="C22" s="10"/>
      <c r="D22" s="54">
        <f>SUM(D21:D21)</f>
        <v>4570</v>
      </c>
      <c r="E22" s="40">
        <f>SUM(E21:E21)</f>
        <v>2.17992749475291</v>
      </c>
      <c r="F22" s="41"/>
    </row>
    <row r="23" spans="1:6" ht="15">
      <c r="A23" s="42"/>
      <c r="B23" s="66"/>
      <c r="C23" s="67"/>
      <c r="D23" s="106"/>
      <c r="E23" s="69"/>
      <c r="F23" s="70"/>
    </row>
    <row r="24" spans="1:6" ht="29.25">
      <c r="A24" s="29"/>
      <c r="B24" s="30" t="s">
        <v>37</v>
      </c>
      <c r="C24" s="43">
        <f>D18+D22</f>
        <v>8786.0642730444</v>
      </c>
      <c r="D24" s="43"/>
      <c r="E24" s="43"/>
      <c r="F24" s="42"/>
    </row>
    <row r="25" spans="1:6" ht="15">
      <c r="A25" s="29"/>
      <c r="B25" s="30" t="s">
        <v>38</v>
      </c>
      <c r="C25" s="44">
        <f>E18+E22</f>
        <v>4.191024743867773</v>
      </c>
      <c r="D25" s="42"/>
      <c r="E25" s="42"/>
      <c r="F25" s="42"/>
    </row>
    <row r="26" spans="1:6" ht="64.5" customHeight="1">
      <c r="A26" s="29"/>
      <c r="B26" s="30"/>
      <c r="C26" s="44"/>
      <c r="D26" s="42"/>
      <c r="E26" s="42"/>
      <c r="F26" s="42"/>
    </row>
    <row r="27" spans="1:6" ht="33" customHeight="1">
      <c r="A27" s="138" t="s">
        <v>39</v>
      </c>
      <c r="B27" s="138"/>
      <c r="C27" s="138"/>
      <c r="D27" s="138"/>
      <c r="E27" s="138"/>
      <c r="F27" s="138"/>
    </row>
    <row r="28" spans="1:6" ht="15">
      <c r="A28" s="1"/>
      <c r="B28" s="1"/>
      <c r="C28" s="1"/>
      <c r="D28" s="2"/>
      <c r="E28" s="2"/>
      <c r="F28" s="2"/>
    </row>
    <row r="29" spans="1:6" ht="71.25">
      <c r="A29" s="8"/>
      <c r="B29" s="9" t="s">
        <v>4</v>
      </c>
      <c r="C29" s="9" t="s">
        <v>5</v>
      </c>
      <c r="D29" s="9" t="s">
        <v>6</v>
      </c>
      <c r="E29" s="9" t="s">
        <v>7</v>
      </c>
      <c r="F29" s="2"/>
    </row>
    <row r="30" spans="1:5" ht="33" customHeight="1">
      <c r="A30" s="139" t="s">
        <v>40</v>
      </c>
      <c r="B30" s="139"/>
      <c r="C30" s="139"/>
      <c r="D30" s="12">
        <f>D31</f>
        <v>20.964</v>
      </c>
      <c r="E30" s="12">
        <f>E31</f>
        <v>0.01</v>
      </c>
    </row>
    <row r="31" spans="1:5" ht="30">
      <c r="A31" s="15">
        <v>1</v>
      </c>
      <c r="B31" s="45" t="s">
        <v>41</v>
      </c>
      <c r="C31" s="45" t="s">
        <v>42</v>
      </c>
      <c r="D31" s="17">
        <f>E31*12*$D$2</f>
        <v>20.964</v>
      </c>
      <c r="E31" s="46">
        <v>0.01</v>
      </c>
    </row>
    <row r="32" spans="1:5" ht="32.25" customHeight="1">
      <c r="A32" s="139" t="s">
        <v>43</v>
      </c>
      <c r="B32" s="139"/>
      <c r="C32" s="139"/>
      <c r="D32" s="12">
        <f>D33</f>
        <v>125.78399999999999</v>
      </c>
      <c r="E32" s="12">
        <f>E33</f>
        <v>0.06</v>
      </c>
    </row>
    <row r="33" spans="1:5" ht="15">
      <c r="A33" s="15">
        <v>2</v>
      </c>
      <c r="B33" s="47" t="s">
        <v>46</v>
      </c>
      <c r="C33" s="8" t="s">
        <v>42</v>
      </c>
      <c r="D33" s="17">
        <f>E33*$D$2*12</f>
        <v>125.78399999999999</v>
      </c>
      <c r="E33" s="18">
        <v>0.06</v>
      </c>
    </row>
    <row r="34" spans="1:6" ht="15">
      <c r="A34" s="9"/>
      <c r="B34" s="27" t="s">
        <v>27</v>
      </c>
      <c r="C34" s="27"/>
      <c r="D34" s="48">
        <f>D30+D32</f>
        <v>146.748</v>
      </c>
      <c r="E34" s="12">
        <f>E30+E32</f>
        <v>0.06999999999999999</v>
      </c>
      <c r="F34" s="6"/>
    </row>
    <row r="35" spans="1:6" ht="15">
      <c r="A35" s="2"/>
      <c r="B35" s="2"/>
      <c r="C35" s="2"/>
      <c r="D35" s="2"/>
      <c r="E35" s="2"/>
      <c r="F35" s="2"/>
    </row>
    <row r="36" spans="1:6" ht="105">
      <c r="A36" s="11" t="s">
        <v>28</v>
      </c>
      <c r="B36" s="11" t="s">
        <v>29</v>
      </c>
      <c r="C36" s="11" t="s">
        <v>30</v>
      </c>
      <c r="D36" s="11" t="s">
        <v>31</v>
      </c>
      <c r="E36" s="11" t="s">
        <v>32</v>
      </c>
      <c r="F36" s="11" t="s">
        <v>33</v>
      </c>
    </row>
    <row r="37" spans="1:6" ht="15">
      <c r="A37" s="11">
        <v>1</v>
      </c>
      <c r="B37" s="8" t="s">
        <v>123</v>
      </c>
      <c r="C37" s="11" t="s">
        <v>48</v>
      </c>
      <c r="D37" s="11">
        <v>1141.5</v>
      </c>
      <c r="E37" s="37">
        <f>D37/12/$D$2</f>
        <v>0.5445048654836864</v>
      </c>
      <c r="F37" s="38">
        <v>2</v>
      </c>
    </row>
    <row r="38" spans="1:6" ht="15">
      <c r="A38" s="11"/>
      <c r="B38" s="39" t="s">
        <v>36</v>
      </c>
      <c r="C38" s="10"/>
      <c r="D38" s="54">
        <f>SUM(D37:D37)</f>
        <v>1141.5</v>
      </c>
      <c r="E38" s="40">
        <f>SUM(E37:E37)</f>
        <v>0.5445048654836864</v>
      </c>
      <c r="F38" s="41"/>
    </row>
    <row r="40" spans="2:4" ht="43.5">
      <c r="B40" s="30" t="s">
        <v>241</v>
      </c>
      <c r="D40" s="81">
        <v>8786.0642730444</v>
      </c>
    </row>
  </sheetData>
  <mergeCells count="8">
    <mergeCell ref="A4:E4"/>
    <mergeCell ref="A7:C7"/>
    <mergeCell ref="A10:C10"/>
    <mergeCell ref="A13:C13"/>
    <mergeCell ref="A16:C16"/>
    <mergeCell ref="A27:F27"/>
    <mergeCell ref="A30:C30"/>
    <mergeCell ref="A32:C32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2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398</v>
      </c>
    </row>
    <row r="2" spans="1:6" ht="39" customHeight="1">
      <c r="A2" s="2"/>
      <c r="B2" s="1" t="s">
        <v>399</v>
      </c>
      <c r="C2" s="4"/>
      <c r="D2" s="5">
        <v>139.1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444.0851046939677</v>
      </c>
      <c r="E7" s="12">
        <f>SUM(E8:E9)</f>
        <v>0.2660466718751304</v>
      </c>
      <c r="F7" s="19"/>
      <c r="G7" s="108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406.29927236410595</v>
      </c>
      <c r="E8" s="20">
        <v>0.24340958085556313</v>
      </c>
      <c r="F8" s="21"/>
      <c r="G8" s="108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37.785832329861755</v>
      </c>
      <c r="E9" s="17">
        <v>0.02263709101956731</v>
      </c>
      <c r="F9" s="21"/>
      <c r="G9" s="108"/>
    </row>
    <row r="10" spans="1:7" ht="15">
      <c r="A10" s="140" t="s">
        <v>64</v>
      </c>
      <c r="B10" s="143"/>
      <c r="C10" s="144"/>
      <c r="D10" s="23">
        <f>SUM(D11:D12)</f>
        <v>124.16104040523501</v>
      </c>
      <c r="E10" s="23">
        <f>SUM(E11:E12)</f>
        <v>0.0743835612300713</v>
      </c>
      <c r="F10" s="21"/>
      <c r="G10" s="108"/>
    </row>
    <row r="11" spans="1:7" ht="18.75" customHeight="1">
      <c r="A11" s="15">
        <v>3</v>
      </c>
      <c r="B11" s="22" t="s">
        <v>17</v>
      </c>
      <c r="C11" s="22" t="s">
        <v>18</v>
      </c>
      <c r="D11" s="17">
        <f>E11*12*$D$2</f>
        <v>47.19022995124922</v>
      </c>
      <c r="E11" s="17">
        <v>0.028271165798735457</v>
      </c>
      <c r="F11" s="13"/>
      <c r="G11" s="116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76.97081045398579</v>
      </c>
      <c r="E12" s="17">
        <v>0.04611239543133584</v>
      </c>
      <c r="F12" s="2"/>
    </row>
    <row r="13" spans="1:6" ht="15">
      <c r="A13" s="145" t="s">
        <v>67</v>
      </c>
      <c r="B13" s="146"/>
      <c r="C13" s="146"/>
      <c r="D13" s="24">
        <f>SUM(D14:D15)</f>
        <v>2776.217595235885</v>
      </c>
      <c r="E13" s="24">
        <f>SUM(E14:E15)</f>
        <v>1.663202489357707</v>
      </c>
      <c r="F13" s="2"/>
    </row>
    <row r="14" spans="1:6" ht="60">
      <c r="A14" s="15">
        <v>5</v>
      </c>
      <c r="B14" s="22" t="s">
        <v>21</v>
      </c>
      <c r="C14" s="22" t="s">
        <v>18</v>
      </c>
      <c r="D14" s="17">
        <f>E14*12*$D$2</f>
        <v>212.56643719857487</v>
      </c>
      <c r="E14" s="17">
        <v>0.127346295949302</v>
      </c>
      <c r="F14" s="2"/>
    </row>
    <row r="15" spans="1:6" ht="75">
      <c r="A15" s="15">
        <v>6</v>
      </c>
      <c r="B15" s="22" t="s">
        <v>22</v>
      </c>
      <c r="C15" s="22" t="s">
        <v>23</v>
      </c>
      <c r="D15" s="17">
        <f>E15*12*$D$2</f>
        <v>2563.65115803731</v>
      </c>
      <c r="E15" s="17">
        <v>1.5358561934084052</v>
      </c>
      <c r="F15" s="2"/>
    </row>
    <row r="16" spans="1:6" ht="15">
      <c r="A16" s="145" t="s">
        <v>70</v>
      </c>
      <c r="B16" s="145"/>
      <c r="C16" s="145"/>
      <c r="D16" s="25">
        <f>SUM(D17)</f>
        <v>401.6816627603768</v>
      </c>
      <c r="E16" s="25">
        <f>SUM(E17)</f>
        <v>0.240643219961884</v>
      </c>
      <c r="F16" s="2"/>
    </row>
    <row r="17" spans="1:6" ht="15">
      <c r="A17" s="15">
        <v>7</v>
      </c>
      <c r="B17" s="22" t="s">
        <v>25</v>
      </c>
      <c r="C17" s="22" t="s">
        <v>26</v>
      </c>
      <c r="D17" s="17">
        <f>E17*12*$D$2</f>
        <v>401.6816627603768</v>
      </c>
      <c r="E17" s="26">
        <f>0.231953219961884+0.00819+0.0005</f>
        <v>0.240643219961884</v>
      </c>
      <c r="F17" s="2"/>
    </row>
    <row r="18" spans="1:6" ht="15">
      <c r="A18" s="9"/>
      <c r="B18" s="27" t="s">
        <v>27</v>
      </c>
      <c r="C18" s="27"/>
      <c r="D18" s="48">
        <f>D7+D10+D13+D16</f>
        <v>3746.145403095464</v>
      </c>
      <c r="E18" s="12">
        <f>E7+E10+E13+E16</f>
        <v>2.244275942424793</v>
      </c>
      <c r="F18" s="6"/>
    </row>
    <row r="19" spans="1:6" ht="30" customHeight="1">
      <c r="A19" s="29"/>
      <c r="B19" s="30"/>
      <c r="C19" s="31"/>
      <c r="D19" s="128"/>
      <c r="E19" s="64"/>
      <c r="F19" s="2"/>
    </row>
    <row r="20" spans="1:6" ht="29.25">
      <c r="A20" s="29"/>
      <c r="B20" s="30" t="s">
        <v>37</v>
      </c>
      <c r="C20" s="43">
        <f>D18</f>
        <v>3746.145403095464</v>
      </c>
      <c r="D20" s="43"/>
      <c r="E20" s="43"/>
      <c r="F20" s="42"/>
    </row>
    <row r="21" spans="1:6" ht="15">
      <c r="A21" s="29"/>
      <c r="B21" s="30" t="s">
        <v>38</v>
      </c>
      <c r="C21" s="44">
        <f>E18</f>
        <v>2.244275942424793</v>
      </c>
      <c r="D21" s="42"/>
      <c r="E21" s="42"/>
      <c r="F21" s="42"/>
    </row>
    <row r="22" spans="1:6" ht="15">
      <c r="A22" s="29"/>
      <c r="B22" s="30"/>
      <c r="C22" s="44"/>
      <c r="D22" s="42"/>
      <c r="E22" s="42"/>
      <c r="F22" s="42"/>
    </row>
    <row r="23" spans="1:6" ht="15">
      <c r="A23" s="2"/>
      <c r="B23" s="2"/>
      <c r="C23" s="2"/>
      <c r="D23" s="2"/>
      <c r="E23" s="2"/>
      <c r="F23" s="2"/>
    </row>
    <row r="24" spans="1:6" ht="33" customHeight="1">
      <c r="A24" s="138" t="s">
        <v>39</v>
      </c>
      <c r="B24" s="138"/>
      <c r="C24" s="138"/>
      <c r="D24" s="138"/>
      <c r="E24" s="138"/>
      <c r="F24" s="138"/>
    </row>
    <row r="25" spans="1:6" ht="15">
      <c r="A25" s="1"/>
      <c r="B25" s="1"/>
      <c r="C25" s="1"/>
      <c r="D25" s="2"/>
      <c r="E25" s="2"/>
      <c r="F25" s="2"/>
    </row>
    <row r="26" spans="1:6" ht="71.25">
      <c r="A26" s="8"/>
      <c r="B26" s="9" t="s">
        <v>4</v>
      </c>
      <c r="C26" s="9" t="s">
        <v>5</v>
      </c>
      <c r="D26" s="9" t="s">
        <v>6</v>
      </c>
      <c r="E26" s="9" t="s">
        <v>7</v>
      </c>
      <c r="F26" s="2"/>
    </row>
    <row r="27" spans="1:5" ht="15">
      <c r="A27" s="139" t="s">
        <v>40</v>
      </c>
      <c r="B27" s="139"/>
      <c r="C27" s="139"/>
      <c r="D27" s="12">
        <f>D28</f>
        <v>16.692</v>
      </c>
      <c r="E27" s="12">
        <f>E28</f>
        <v>0.01</v>
      </c>
    </row>
    <row r="28" spans="1:5" ht="30">
      <c r="A28" s="15">
        <v>1</v>
      </c>
      <c r="B28" s="45" t="s">
        <v>41</v>
      </c>
      <c r="C28" s="45" t="s">
        <v>42</v>
      </c>
      <c r="D28" s="17">
        <f>E28*12*$D$2</f>
        <v>16.692</v>
      </c>
      <c r="E28" s="46">
        <v>0.01</v>
      </c>
    </row>
    <row r="29" spans="1:5" ht="32.25" customHeight="1">
      <c r="A29" s="139" t="s">
        <v>43</v>
      </c>
      <c r="B29" s="139"/>
      <c r="C29" s="139"/>
      <c r="D29" s="12">
        <f>D30+D31</f>
        <v>133.536</v>
      </c>
      <c r="E29" s="12">
        <f>E30+E31</f>
        <v>0.08</v>
      </c>
    </row>
    <row r="30" spans="1:5" ht="44.25" customHeight="1">
      <c r="A30" s="15">
        <v>2</v>
      </c>
      <c r="B30" s="45" t="s">
        <v>44</v>
      </c>
      <c r="C30" s="45" t="s">
        <v>45</v>
      </c>
      <c r="D30" s="17">
        <f>E30*$D$2*12</f>
        <v>33.384</v>
      </c>
      <c r="E30" s="46">
        <v>0.02</v>
      </c>
    </row>
    <row r="31" spans="1:5" ht="15">
      <c r="A31" s="15">
        <v>3</v>
      </c>
      <c r="B31" s="47" t="s">
        <v>46</v>
      </c>
      <c r="C31" s="8" t="s">
        <v>213</v>
      </c>
      <c r="D31" s="17">
        <f>E31*$D$2*12</f>
        <v>100.152</v>
      </c>
      <c r="E31" s="18">
        <v>0.06</v>
      </c>
    </row>
    <row r="32" spans="1:6" ht="15">
      <c r="A32" s="9"/>
      <c r="B32" s="27" t="s">
        <v>27</v>
      </c>
      <c r="C32" s="27"/>
      <c r="D32" s="48">
        <f>D27+D29</f>
        <v>150.228</v>
      </c>
      <c r="E32" s="12">
        <f>E27+E29</f>
        <v>0.09</v>
      </c>
      <c r="F32" s="6"/>
    </row>
    <row r="33" spans="1:6" ht="15">
      <c r="A33" s="2"/>
      <c r="B33" s="2"/>
      <c r="C33" s="2"/>
      <c r="D33" s="2"/>
      <c r="E33" s="2"/>
      <c r="F33" s="2"/>
    </row>
    <row r="34" spans="2:3" ht="29.25">
      <c r="B34" s="30" t="s">
        <v>400</v>
      </c>
      <c r="C34" s="43">
        <f>C20</f>
        <v>3746.145403095464</v>
      </c>
    </row>
  </sheetData>
  <sheetProtection/>
  <mergeCells count="8">
    <mergeCell ref="A24:F24"/>
    <mergeCell ref="A27:C27"/>
    <mergeCell ref="A29:C29"/>
    <mergeCell ref="A4:E4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7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401</v>
      </c>
    </row>
    <row r="2" spans="1:6" ht="39" customHeight="1">
      <c r="A2" s="2"/>
      <c r="B2" s="1" t="s">
        <v>402</v>
      </c>
      <c r="C2" s="4"/>
      <c r="D2" s="5">
        <v>85.4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592.1134729252898</v>
      </c>
      <c r="E7" s="12">
        <f>SUM(E8:E9)</f>
        <v>0.5777844193260048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541.7323631521408</v>
      </c>
      <c r="E8" s="20">
        <v>0.5286225245434628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50.381109773149014</v>
      </c>
      <c r="E9" s="17">
        <v>0.04916189478254197</v>
      </c>
      <c r="F9" s="21"/>
    </row>
    <row r="10" spans="1:6" ht="15">
      <c r="A10" s="140" t="s">
        <v>64</v>
      </c>
      <c r="B10" s="143"/>
      <c r="C10" s="144"/>
      <c r="D10" s="23">
        <f>SUM(D11:D12)</f>
        <v>85.67563517824208</v>
      </c>
      <c r="E10" s="23">
        <f>SUM(E11:E12)</f>
        <v>0.08360229818329631</v>
      </c>
      <c r="F10" s="21"/>
    </row>
    <row r="11" spans="1:6" ht="15">
      <c r="A11" s="15">
        <v>3</v>
      </c>
      <c r="B11" s="22" t="s">
        <v>310</v>
      </c>
      <c r="C11" s="22" t="s">
        <v>18</v>
      </c>
      <c r="D11" s="17">
        <f>E11*12*$D$2</f>
        <v>47.1902299512492</v>
      </c>
      <c r="E11" s="18">
        <v>0.046048233754146364</v>
      </c>
      <c r="F11" s="103"/>
    </row>
    <row r="12" spans="1:6" ht="60">
      <c r="A12" s="15">
        <v>4</v>
      </c>
      <c r="B12" s="22" t="s">
        <v>311</v>
      </c>
      <c r="C12" s="22" t="s">
        <v>18</v>
      </c>
      <c r="D12" s="17">
        <f>E12*12*$D$2</f>
        <v>38.485405226992874</v>
      </c>
      <c r="E12" s="17">
        <v>0.03755406442914995</v>
      </c>
      <c r="F12" s="2"/>
    </row>
    <row r="13" spans="1:6" ht="15">
      <c r="A13" s="145" t="s">
        <v>67</v>
      </c>
      <c r="B13" s="146"/>
      <c r="C13" s="146"/>
      <c r="D13" s="24">
        <f>SUM(D14:D15)</f>
        <v>1901.4679442556228</v>
      </c>
      <c r="E13" s="24">
        <f>SUM(E14:E15)</f>
        <v>1.8554527168770711</v>
      </c>
      <c r="F13" s="2"/>
    </row>
    <row r="14" spans="1:6" ht="75">
      <c r="A14" s="15">
        <v>5</v>
      </c>
      <c r="B14" s="22" t="s">
        <v>98</v>
      </c>
      <c r="C14" s="22" t="s">
        <v>18</v>
      </c>
      <c r="D14" s="17">
        <f>E14*12*$D$2</f>
        <v>109.98529478456125</v>
      </c>
      <c r="E14" s="17">
        <v>0.10732366782256172</v>
      </c>
      <c r="F14" s="2"/>
    </row>
    <row r="15" spans="1:6" ht="90">
      <c r="A15" s="15">
        <v>6</v>
      </c>
      <c r="B15" s="22" t="s">
        <v>22</v>
      </c>
      <c r="C15" s="22" t="s">
        <v>79</v>
      </c>
      <c r="D15" s="17">
        <f>E15*12*$D$2</f>
        <v>1791.4826494710614</v>
      </c>
      <c r="E15" s="20">
        <v>1.7481290490545094</v>
      </c>
      <c r="F15" s="2"/>
    </row>
    <row r="16" spans="1:6" ht="15">
      <c r="A16" s="145" t="s">
        <v>70</v>
      </c>
      <c r="B16" s="145"/>
      <c r="C16" s="145"/>
      <c r="D16" s="25">
        <f>SUM(D17)</f>
        <v>182.58295961717064</v>
      </c>
      <c r="E16" s="25">
        <f>SUM(E17)</f>
        <v>0.17816448050075198</v>
      </c>
      <c r="F16" s="2"/>
    </row>
    <row r="17" spans="1:6" ht="15">
      <c r="A17" s="15">
        <v>7</v>
      </c>
      <c r="B17" s="22" t="s">
        <v>25</v>
      </c>
      <c r="C17" s="22" t="s">
        <v>26</v>
      </c>
      <c r="D17" s="17">
        <f>E17*12*$D$2</f>
        <v>182.58295961717064</v>
      </c>
      <c r="E17" s="26">
        <f>0.185945480500752-0.007781</f>
        <v>0.17816448050075198</v>
      </c>
      <c r="F17" s="2"/>
    </row>
    <row r="18" spans="1:6" ht="15">
      <c r="A18" s="9"/>
      <c r="B18" s="27" t="s">
        <v>27</v>
      </c>
      <c r="C18" s="27"/>
      <c r="D18" s="48">
        <f>D7+D10+D13+D16</f>
        <v>2761.8400119763255</v>
      </c>
      <c r="E18" s="12">
        <f>+E7+E10+E13+E16</f>
        <v>2.695003914887124</v>
      </c>
      <c r="F18" s="6"/>
    </row>
    <row r="19" spans="1:6" ht="15">
      <c r="A19" s="29"/>
      <c r="B19" s="30"/>
      <c r="C19" s="31"/>
      <c r="D19" s="128"/>
      <c r="E19" s="64"/>
      <c r="F19" s="125"/>
    </row>
    <row r="20" spans="1:6" ht="29.25">
      <c r="A20" s="29"/>
      <c r="B20" s="30" t="s">
        <v>37</v>
      </c>
      <c r="C20" s="43">
        <f>D18</f>
        <v>2761.8400119763255</v>
      </c>
      <c r="D20" s="43"/>
      <c r="E20" s="43"/>
      <c r="F20" s="42"/>
    </row>
    <row r="21" spans="1:6" ht="15">
      <c r="A21" s="29"/>
      <c r="B21" s="30" t="s">
        <v>38</v>
      </c>
      <c r="C21" s="44">
        <f>E18</f>
        <v>2.695003914887124</v>
      </c>
      <c r="D21" s="42"/>
      <c r="E21" s="42"/>
      <c r="F21" s="42"/>
    </row>
    <row r="22" spans="1:6" ht="15">
      <c r="A22" s="29"/>
      <c r="B22" s="30"/>
      <c r="C22" s="44"/>
      <c r="D22" s="42"/>
      <c r="E22" s="42"/>
      <c r="F22" s="42"/>
    </row>
    <row r="23" spans="1:6" ht="15">
      <c r="A23" s="2"/>
      <c r="B23" s="2"/>
      <c r="C23" s="2"/>
      <c r="D23" s="2"/>
      <c r="E23" s="2"/>
      <c r="F23" s="2"/>
    </row>
    <row r="24" spans="1:6" ht="33" customHeight="1">
      <c r="A24" s="138" t="s">
        <v>39</v>
      </c>
      <c r="B24" s="138"/>
      <c r="C24" s="138"/>
      <c r="D24" s="138"/>
      <c r="E24" s="138"/>
      <c r="F24" s="138"/>
    </row>
    <row r="25" spans="1:6" ht="15">
      <c r="A25" s="1"/>
      <c r="B25" s="1"/>
      <c r="C25" s="1"/>
      <c r="D25" s="2"/>
      <c r="E25" s="2"/>
      <c r="F25" s="2"/>
    </row>
    <row r="26" spans="1:6" ht="71.25">
      <c r="A26" s="8"/>
      <c r="B26" s="9" t="s">
        <v>4</v>
      </c>
      <c r="C26" s="9" t="s">
        <v>5</v>
      </c>
      <c r="D26" s="9" t="s">
        <v>6</v>
      </c>
      <c r="E26" s="9" t="s">
        <v>7</v>
      </c>
      <c r="F26" s="2"/>
    </row>
    <row r="27" spans="1:5" ht="32.25" customHeight="1">
      <c r="A27" s="139" t="s">
        <v>312</v>
      </c>
      <c r="B27" s="139"/>
      <c r="C27" s="139"/>
      <c r="D27" s="12">
        <f>D28+D29</f>
        <v>81.98400000000001</v>
      </c>
      <c r="E27" s="12">
        <f>E28+E29</f>
        <v>0.08</v>
      </c>
    </row>
    <row r="28" spans="1:5" ht="43.5" customHeight="1">
      <c r="A28" s="15">
        <v>1</v>
      </c>
      <c r="B28" s="45" t="s">
        <v>44</v>
      </c>
      <c r="C28" s="45" t="s">
        <v>45</v>
      </c>
      <c r="D28" s="17">
        <f>E28*$D$2*12</f>
        <v>20.496000000000002</v>
      </c>
      <c r="E28" s="46">
        <v>0.02</v>
      </c>
    </row>
    <row r="29" spans="1:5" ht="15">
      <c r="A29" s="15">
        <v>2</v>
      </c>
      <c r="B29" s="47" t="s">
        <v>46</v>
      </c>
      <c r="C29" s="8" t="s">
        <v>42</v>
      </c>
      <c r="D29" s="17">
        <f>E29*$D$2*12</f>
        <v>61.48800000000001</v>
      </c>
      <c r="E29" s="18">
        <v>0.06</v>
      </c>
    </row>
    <row r="30" spans="1:6" ht="15">
      <c r="A30" s="9"/>
      <c r="B30" s="27" t="s">
        <v>27</v>
      </c>
      <c r="C30" s="27"/>
      <c r="D30" s="48">
        <f>+D27</f>
        <v>81.98400000000001</v>
      </c>
      <c r="E30" s="12">
        <f>+E27</f>
        <v>0.08</v>
      </c>
      <c r="F30" s="6"/>
    </row>
    <row r="31" spans="1:6" ht="15">
      <c r="A31" s="2"/>
      <c r="B31" s="2"/>
      <c r="C31" s="2"/>
      <c r="D31" s="2"/>
      <c r="E31" s="2"/>
      <c r="F31" s="2"/>
    </row>
    <row r="32" spans="1:6" ht="15">
      <c r="A32" s="34"/>
      <c r="B32" s="34"/>
      <c r="C32" s="34"/>
      <c r="D32" s="34"/>
      <c r="E32" s="34"/>
      <c r="F32" s="35"/>
    </row>
    <row r="33" spans="1:6" ht="105">
      <c r="A33" s="11" t="s">
        <v>28</v>
      </c>
      <c r="B33" s="11" t="s">
        <v>29</v>
      </c>
      <c r="C33" s="11" t="s">
        <v>30</v>
      </c>
      <c r="D33" s="11" t="s">
        <v>31</v>
      </c>
      <c r="E33" s="11" t="s">
        <v>47</v>
      </c>
      <c r="F33" s="11" t="s">
        <v>33</v>
      </c>
    </row>
    <row r="34" spans="1:6" ht="15">
      <c r="A34" s="11">
        <v>1</v>
      </c>
      <c r="B34" s="8" t="s">
        <v>123</v>
      </c>
      <c r="C34" s="11" t="s">
        <v>48</v>
      </c>
      <c r="D34" s="36">
        <v>1100</v>
      </c>
      <c r="E34" s="50">
        <f>D34/12/$D$2</f>
        <v>1.0733801717408276</v>
      </c>
      <c r="F34" s="38">
        <v>2</v>
      </c>
    </row>
    <row r="35" spans="1:6" ht="15">
      <c r="A35" s="51"/>
      <c r="B35" s="51" t="s">
        <v>36</v>
      </c>
      <c r="C35" s="51"/>
      <c r="D35" s="52">
        <f>SUM(D34:D34)</f>
        <v>1100</v>
      </c>
      <c r="E35" s="53">
        <f>SUM(E34:E34)</f>
        <v>1.0733801717408276</v>
      </c>
      <c r="F35" s="51"/>
    </row>
    <row r="37" spans="2:3" ht="29.25">
      <c r="B37" s="30" t="s">
        <v>403</v>
      </c>
      <c r="C37" s="43">
        <v>2761.8400119763255</v>
      </c>
    </row>
  </sheetData>
  <sheetProtection/>
  <mergeCells count="7">
    <mergeCell ref="A4:E4"/>
    <mergeCell ref="A24:F24"/>
    <mergeCell ref="A27:C27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64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404</v>
      </c>
    </row>
    <row r="2" spans="1:6" ht="39" customHeight="1">
      <c r="A2" s="2"/>
      <c r="B2" s="1" t="s">
        <v>405</v>
      </c>
      <c r="C2" s="4"/>
      <c r="D2" s="5">
        <v>98.5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740.141841156612</v>
      </c>
      <c r="E7" s="12">
        <f>SUM(E8:E9)</f>
        <v>0.6261775305893503</v>
      </c>
      <c r="F7" s="19"/>
      <c r="G7" s="14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677.1654539401758</v>
      </c>
      <c r="E8" s="20">
        <v>0.5728980151778137</v>
      </c>
      <c r="F8" s="21"/>
      <c r="G8" s="14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62.97638721643625</v>
      </c>
      <c r="E9" s="17">
        <v>0.05327951541153659</v>
      </c>
      <c r="F9" s="21"/>
      <c r="G9" s="14"/>
    </row>
    <row r="10" spans="1:7" ht="15">
      <c r="A10" s="140" t="s">
        <v>64</v>
      </c>
      <c r="B10" s="143"/>
      <c r="C10" s="144"/>
      <c r="D10" s="23">
        <f>SUM(D11:D13)</f>
        <v>1334.1965534879464</v>
      </c>
      <c r="E10" s="23">
        <f>SUM(E11:E13)</f>
        <v>1.1287618895837108</v>
      </c>
      <c r="F10" s="21"/>
      <c r="G10" s="14"/>
    </row>
    <row r="11" spans="1:7" ht="30">
      <c r="A11" s="11">
        <v>3</v>
      </c>
      <c r="B11" s="22" t="s">
        <v>17</v>
      </c>
      <c r="C11" s="22" t="s">
        <v>18</v>
      </c>
      <c r="D11" s="17">
        <f>E11*$D$2*12</f>
        <v>47.19022995124928</v>
      </c>
      <c r="E11" s="20">
        <v>0.03992405241222443</v>
      </c>
      <c r="F11" s="21"/>
      <c r="G11" s="14"/>
    </row>
    <row r="12" spans="1:7" ht="30">
      <c r="A12" s="11">
        <v>4</v>
      </c>
      <c r="B12" s="22" t="s">
        <v>105</v>
      </c>
      <c r="C12" s="22" t="s">
        <v>18</v>
      </c>
      <c r="D12" s="17">
        <f>E12*$D$2*12</f>
        <v>128.30330885357864</v>
      </c>
      <c r="E12" s="20">
        <v>0.10854763862400899</v>
      </c>
      <c r="F12" s="21"/>
      <c r="G12" s="14"/>
    </row>
    <row r="13" spans="1:7" ht="90">
      <c r="A13" s="15">
        <v>5</v>
      </c>
      <c r="B13" s="22" t="s">
        <v>106</v>
      </c>
      <c r="C13" s="22" t="s">
        <v>18</v>
      </c>
      <c r="D13" s="17">
        <f>E13*12*$D$2</f>
        <v>1158.7030146831185</v>
      </c>
      <c r="E13" s="17">
        <v>0.9802901985474775</v>
      </c>
      <c r="F13" s="2"/>
      <c r="G13" s="14"/>
    </row>
    <row r="14" spans="1:7" ht="15">
      <c r="A14" s="145" t="s">
        <v>67</v>
      </c>
      <c r="B14" s="146"/>
      <c r="C14" s="146"/>
      <c r="D14" s="24">
        <f>SUM(D15:D16)</f>
        <v>1909.719341637017</v>
      </c>
      <c r="E14" s="24">
        <f>SUM(E15:E16)</f>
        <v>1.6156678017233648</v>
      </c>
      <c r="F14" s="2"/>
      <c r="G14" s="14"/>
    </row>
    <row r="15" spans="1:7" ht="75">
      <c r="A15" s="15">
        <v>6</v>
      </c>
      <c r="B15" s="22" t="s">
        <v>78</v>
      </c>
      <c r="C15" s="22" t="s">
        <v>18</v>
      </c>
      <c r="D15" s="17">
        <f>E15*12*$D$2</f>
        <v>141.7706970030661</v>
      </c>
      <c r="E15" s="17">
        <v>0.11994136802289856</v>
      </c>
      <c r="F15" s="2"/>
      <c r="G15" s="14"/>
    </row>
    <row r="16" spans="1:7" ht="105">
      <c r="A16" s="15">
        <v>7</v>
      </c>
      <c r="B16" s="22" t="s">
        <v>22</v>
      </c>
      <c r="C16" s="22" t="s">
        <v>107</v>
      </c>
      <c r="D16" s="17">
        <f>E16*12*$D$2</f>
        <v>1767.9486446339508</v>
      </c>
      <c r="E16" s="17">
        <v>1.495726433700466</v>
      </c>
      <c r="F16" s="2"/>
      <c r="G16" s="14"/>
    </row>
    <row r="17" spans="1:7" ht="15">
      <c r="A17" s="145" t="s">
        <v>70</v>
      </c>
      <c r="B17" s="145"/>
      <c r="C17" s="145"/>
      <c r="D17" s="25">
        <f>SUM(D18)</f>
        <v>205.53404805651925</v>
      </c>
      <c r="E17" s="25">
        <f>SUM(E18)</f>
        <v>0.1738866734826728</v>
      </c>
      <c r="F17" s="2"/>
      <c r="G17" s="14"/>
    </row>
    <row r="18" spans="1:7" ht="15">
      <c r="A18" s="15">
        <v>8</v>
      </c>
      <c r="B18" s="22" t="s">
        <v>25</v>
      </c>
      <c r="C18" s="22" t="s">
        <v>26</v>
      </c>
      <c r="D18" s="17">
        <f>E18*12*$D$2</f>
        <v>205.53404805651925</v>
      </c>
      <c r="E18" s="26">
        <v>0.1738866734826728</v>
      </c>
      <c r="F18" s="2"/>
      <c r="G18" s="14"/>
    </row>
    <row r="19" spans="1:7" ht="15">
      <c r="A19" s="9"/>
      <c r="B19" s="27" t="s">
        <v>27</v>
      </c>
      <c r="C19" s="27"/>
      <c r="D19" s="48">
        <f>D7+D10+D14+D17</f>
        <v>4189.591784338095</v>
      </c>
      <c r="E19" s="12">
        <f>E7+E10+E14+E17+0.01</f>
        <v>3.5544938953790983</v>
      </c>
      <c r="F19" s="6"/>
      <c r="G19" s="14"/>
    </row>
    <row r="20" spans="1:6" ht="15">
      <c r="A20" s="29"/>
      <c r="B20" s="30"/>
      <c r="C20" s="31"/>
      <c r="D20" s="128"/>
      <c r="E20" s="64"/>
      <c r="F20" s="2"/>
    </row>
    <row r="21" spans="1:6" ht="15">
      <c r="A21" s="29"/>
      <c r="B21" s="30"/>
      <c r="C21" s="31"/>
      <c r="D21" s="128"/>
      <c r="E21" s="64"/>
      <c r="F21" s="2"/>
    </row>
    <row r="22" spans="1:6" ht="29.25">
      <c r="A22" s="29"/>
      <c r="B22" s="30" t="s">
        <v>37</v>
      </c>
      <c r="C22" s="43">
        <f>D19</f>
        <v>4189.591784338095</v>
      </c>
      <c r="D22" s="43"/>
      <c r="E22" s="43"/>
      <c r="F22" s="42"/>
    </row>
    <row r="23" spans="1:6" ht="15">
      <c r="A23" s="29"/>
      <c r="B23" s="30" t="s">
        <v>38</v>
      </c>
      <c r="C23" s="44">
        <f>E19</f>
        <v>3.5544938953790983</v>
      </c>
      <c r="D23" s="42"/>
      <c r="E23" s="42"/>
      <c r="F23" s="42"/>
    </row>
    <row r="24" spans="1:6" ht="15">
      <c r="A24" s="29"/>
      <c r="B24" s="30"/>
      <c r="C24" s="44"/>
      <c r="D24" s="42"/>
      <c r="E24" s="42"/>
      <c r="F24" s="42"/>
    </row>
    <row r="25" spans="1:6" ht="52.5" customHeight="1">
      <c r="A25" s="2"/>
      <c r="B25" s="2"/>
      <c r="C25" s="2"/>
      <c r="D25" s="2"/>
      <c r="E25" s="2"/>
      <c r="F25" s="2"/>
    </row>
    <row r="26" spans="1:6" ht="33" customHeight="1">
      <c r="A26" s="138" t="s">
        <v>39</v>
      </c>
      <c r="B26" s="138"/>
      <c r="C26" s="138"/>
      <c r="D26" s="138"/>
      <c r="E26" s="138"/>
      <c r="F26" s="138"/>
    </row>
    <row r="27" spans="1:6" ht="15">
      <c r="A27" s="1"/>
      <c r="B27" s="1"/>
      <c r="C27" s="1"/>
      <c r="D27" s="2"/>
      <c r="E27" s="2"/>
      <c r="F27" s="2"/>
    </row>
    <row r="28" spans="1:6" ht="71.25">
      <c r="A28" s="8"/>
      <c r="B28" s="9" t="s">
        <v>4</v>
      </c>
      <c r="C28" s="9" t="s">
        <v>5</v>
      </c>
      <c r="D28" s="9" t="s">
        <v>6</v>
      </c>
      <c r="E28" s="9" t="s">
        <v>7</v>
      </c>
      <c r="F28" s="2"/>
    </row>
    <row r="29" spans="1:5" ht="15">
      <c r="A29" s="139" t="s">
        <v>40</v>
      </c>
      <c r="B29" s="139"/>
      <c r="C29" s="139"/>
      <c r="D29" s="12">
        <f>D30</f>
        <v>11.82</v>
      </c>
      <c r="E29" s="12">
        <f>E30</f>
        <v>0.01</v>
      </c>
    </row>
    <row r="30" spans="1:5" ht="30">
      <c r="A30" s="15">
        <v>1</v>
      </c>
      <c r="B30" s="45" t="s">
        <v>41</v>
      </c>
      <c r="C30" s="45" t="s">
        <v>213</v>
      </c>
      <c r="D30" s="17">
        <f>E30*12*$D$2</f>
        <v>11.82</v>
      </c>
      <c r="E30" s="46">
        <v>0.01</v>
      </c>
    </row>
    <row r="31" spans="1:5" ht="32.25" customHeight="1">
      <c r="A31" s="139" t="s">
        <v>43</v>
      </c>
      <c r="B31" s="139"/>
      <c r="C31" s="139"/>
      <c r="D31" s="12">
        <f>D32+D33</f>
        <v>94.56</v>
      </c>
      <c r="E31" s="12">
        <f>E32+E33</f>
        <v>0.08</v>
      </c>
    </row>
    <row r="32" spans="1:5" ht="28.5" customHeight="1">
      <c r="A32" s="15">
        <v>2</v>
      </c>
      <c r="B32" s="45" t="s">
        <v>44</v>
      </c>
      <c r="C32" s="45" t="s">
        <v>45</v>
      </c>
      <c r="D32" s="17">
        <f>E32*$D$2*12</f>
        <v>23.64</v>
      </c>
      <c r="E32" s="46">
        <v>0.02</v>
      </c>
    </row>
    <row r="33" spans="1:5" ht="15">
      <c r="A33" s="15">
        <v>3</v>
      </c>
      <c r="B33" s="47" t="s">
        <v>46</v>
      </c>
      <c r="C33" s="8" t="s">
        <v>213</v>
      </c>
      <c r="D33" s="17">
        <f>E33*$D$2*12</f>
        <v>70.92</v>
      </c>
      <c r="E33" s="18">
        <v>0.06</v>
      </c>
    </row>
    <row r="34" spans="1:6" ht="15">
      <c r="A34" s="9"/>
      <c r="B34" s="27" t="s">
        <v>27</v>
      </c>
      <c r="C34" s="27"/>
      <c r="D34" s="48">
        <f>D29+D31</f>
        <v>106.38</v>
      </c>
      <c r="E34" s="12">
        <f>E29+E31</f>
        <v>0.09</v>
      </c>
      <c r="F34" s="6"/>
    </row>
    <row r="35" spans="1:6" ht="15">
      <c r="A35" s="2"/>
      <c r="B35" s="2"/>
      <c r="C35" s="2"/>
      <c r="D35" s="2"/>
      <c r="E35" s="2"/>
      <c r="F35" s="2"/>
    </row>
    <row r="37" spans="1:6" ht="39" customHeight="1">
      <c r="A37" s="2"/>
      <c r="B37" s="1" t="s">
        <v>406</v>
      </c>
      <c r="C37" s="4"/>
      <c r="D37" s="5">
        <v>85.6</v>
      </c>
      <c r="E37" s="6" t="s">
        <v>2</v>
      </c>
      <c r="F37" s="2"/>
    </row>
    <row r="38" spans="1:6" ht="15">
      <c r="A38" s="2"/>
      <c r="B38" s="7"/>
      <c r="C38" s="2"/>
      <c r="D38" s="2"/>
      <c r="E38" s="2"/>
      <c r="F38" s="2"/>
    </row>
    <row r="39" spans="1:6" ht="30.75" customHeight="1">
      <c r="A39" s="138" t="s">
        <v>3</v>
      </c>
      <c r="B39" s="138"/>
      <c r="C39" s="138"/>
      <c r="D39" s="138"/>
      <c r="E39" s="138"/>
      <c r="F39" s="2"/>
    </row>
    <row r="40" spans="1:6" ht="15">
      <c r="A40" s="1"/>
      <c r="B40" s="1"/>
      <c r="C40" s="1"/>
      <c r="D40" s="1"/>
      <c r="E40" s="1"/>
      <c r="F40" s="2"/>
    </row>
    <row r="41" spans="1:6" ht="71.25">
      <c r="A41" s="8"/>
      <c r="B41" s="9" t="s">
        <v>4</v>
      </c>
      <c r="C41" s="9" t="s">
        <v>5</v>
      </c>
      <c r="D41" s="9" t="s">
        <v>6</v>
      </c>
      <c r="E41" s="9" t="s">
        <v>7</v>
      </c>
      <c r="F41" s="2"/>
    </row>
    <row r="42" spans="1:7" ht="15">
      <c r="A42" s="140" t="s">
        <v>61</v>
      </c>
      <c r="B42" s="141"/>
      <c r="C42" s="142"/>
      <c r="D42" s="12">
        <f>SUM(D43:D44)</f>
        <v>740.1418411566113</v>
      </c>
      <c r="E42" s="12">
        <f>SUM(E43:E44)</f>
        <v>0.7205430696618101</v>
      </c>
      <c r="F42" s="2"/>
      <c r="G42" s="14"/>
    </row>
    <row r="43" spans="1:7" ht="15">
      <c r="A43" s="15">
        <v>1</v>
      </c>
      <c r="B43" s="8" t="s">
        <v>12</v>
      </c>
      <c r="C43" s="16" t="s">
        <v>13</v>
      </c>
      <c r="D43" s="17">
        <f>E43*$D$37*12</f>
        <v>677.1654539401751</v>
      </c>
      <c r="E43" s="20">
        <v>0.6592342814838154</v>
      </c>
      <c r="F43" s="2"/>
      <c r="G43" s="14"/>
    </row>
    <row r="44" spans="1:7" ht="30">
      <c r="A44" s="15">
        <v>2</v>
      </c>
      <c r="B44" s="22" t="s">
        <v>14</v>
      </c>
      <c r="C44" s="22" t="s">
        <v>15</v>
      </c>
      <c r="D44" s="17">
        <f>E44*$D$37*12</f>
        <v>62.976387216436294</v>
      </c>
      <c r="E44" s="17">
        <v>0.06130878817799484</v>
      </c>
      <c r="F44" s="2"/>
      <c r="G44" s="14"/>
    </row>
    <row r="45" spans="1:7" ht="15">
      <c r="A45" s="140" t="s">
        <v>64</v>
      </c>
      <c r="B45" s="143"/>
      <c r="C45" s="144"/>
      <c r="D45" s="23">
        <f>SUM(D46:D48)</f>
        <v>1303.3146956979876</v>
      </c>
      <c r="E45" s="23">
        <f>SUM(E46:E48)</f>
        <v>1.2688032473695363</v>
      </c>
      <c r="F45" s="2"/>
      <c r="G45" s="14"/>
    </row>
    <row r="46" spans="1:7" ht="30">
      <c r="A46" s="11">
        <v>3</v>
      </c>
      <c r="B46" s="22" t="s">
        <v>17</v>
      </c>
      <c r="C46" s="22" t="s">
        <v>18</v>
      </c>
      <c r="D46" s="17">
        <f>E46*$D$37*12</f>
        <v>47.19022995124924</v>
      </c>
      <c r="E46" s="20">
        <v>0.04594064442294514</v>
      </c>
      <c r="F46" s="2"/>
      <c r="G46" s="14"/>
    </row>
    <row r="47" spans="1:7" ht="30">
      <c r="A47" s="11">
        <v>4</v>
      </c>
      <c r="B47" s="22" t="s">
        <v>105</v>
      </c>
      <c r="C47" s="22" t="s">
        <v>18</v>
      </c>
      <c r="D47" s="17">
        <f>E47*$D$37*12</f>
        <v>128.30330885357853</v>
      </c>
      <c r="E47" s="20">
        <v>0.12490586921103831</v>
      </c>
      <c r="F47" s="2"/>
      <c r="G47" s="14"/>
    </row>
    <row r="48" spans="1:7" ht="90">
      <c r="A48" s="15">
        <v>5</v>
      </c>
      <c r="B48" s="22" t="s">
        <v>106</v>
      </c>
      <c r="C48" s="22" t="s">
        <v>18</v>
      </c>
      <c r="D48" s="17">
        <f>E48*$D$37*12</f>
        <v>1127.82115689316</v>
      </c>
      <c r="E48" s="17">
        <v>1.097956733735553</v>
      </c>
      <c r="F48" s="2"/>
      <c r="G48" s="14"/>
    </row>
    <row r="49" spans="1:7" ht="15">
      <c r="A49" s="145" t="s">
        <v>67</v>
      </c>
      <c r="B49" s="146"/>
      <c r="C49" s="146"/>
      <c r="D49" s="24">
        <f>SUM(D50:D51)</f>
        <v>1828.3627167064312</v>
      </c>
      <c r="E49" s="24">
        <f>SUM(E50:E51)</f>
        <v>1.779948127634766</v>
      </c>
      <c r="F49" s="2"/>
      <c r="G49" s="14"/>
    </row>
    <row r="50" spans="1:7" ht="75">
      <c r="A50" s="15">
        <v>6</v>
      </c>
      <c r="B50" s="22" t="s">
        <v>78</v>
      </c>
      <c r="C50" s="22" t="s">
        <v>18</v>
      </c>
      <c r="D50" s="17">
        <f>E50*$D$37*12</f>
        <v>137.6079387429773</v>
      </c>
      <c r="E50" s="17">
        <v>0.13396411481987666</v>
      </c>
      <c r="F50" s="2"/>
      <c r="G50" s="14"/>
    </row>
    <row r="51" spans="1:7" ht="105">
      <c r="A51" s="15">
        <v>7</v>
      </c>
      <c r="B51" s="22" t="s">
        <v>22</v>
      </c>
      <c r="C51" s="22" t="s">
        <v>107</v>
      </c>
      <c r="D51" s="17">
        <f>E51*$D$37*12</f>
        <v>1690.754777963454</v>
      </c>
      <c r="E51" s="17">
        <v>1.6459840128148893</v>
      </c>
      <c r="F51" s="2"/>
      <c r="G51" s="14"/>
    </row>
    <row r="52" spans="1:7" ht="15">
      <c r="A52" s="145" t="s">
        <v>70</v>
      </c>
      <c r="B52" s="145"/>
      <c r="C52" s="145"/>
      <c r="D52" s="25">
        <f>SUM(D53)</f>
        <v>205.33257243111</v>
      </c>
      <c r="E52" s="25">
        <f>SUM(E53)</f>
        <v>0.199895417086361</v>
      </c>
      <c r="F52" s="2"/>
      <c r="G52" s="14"/>
    </row>
    <row r="53" spans="1:7" ht="15">
      <c r="A53" s="15">
        <v>8</v>
      </c>
      <c r="B53" s="22" t="s">
        <v>25</v>
      </c>
      <c r="C53" s="22" t="s">
        <v>26</v>
      </c>
      <c r="D53" s="17">
        <f>E53*$D$37*12</f>
        <v>205.33257243111</v>
      </c>
      <c r="E53" s="26">
        <f>0.198895417086361+0.001</f>
        <v>0.199895417086361</v>
      </c>
      <c r="F53" s="2"/>
      <c r="G53" s="14"/>
    </row>
    <row r="54" spans="1:7" ht="15">
      <c r="A54" s="9"/>
      <c r="B54" s="27" t="s">
        <v>27</v>
      </c>
      <c r="C54" s="27"/>
      <c r="D54" s="48">
        <f>D42+D45+D49+D52</f>
        <v>4077.1518259921404</v>
      </c>
      <c r="E54" s="12">
        <f>E42+E45+E49+E52</f>
        <v>3.9691898617524735</v>
      </c>
      <c r="F54" s="2"/>
      <c r="G54" s="14"/>
    </row>
    <row r="55" spans="1:6" ht="15">
      <c r="A55" s="1"/>
      <c r="B55" s="1"/>
      <c r="C55" s="1"/>
      <c r="D55" s="1"/>
      <c r="E55" s="1"/>
      <c r="F55" s="2"/>
    </row>
    <row r="56" spans="1:6" ht="15">
      <c r="A56" s="1"/>
      <c r="B56" s="1"/>
      <c r="C56" s="1"/>
      <c r="D56" s="1"/>
      <c r="E56" s="1"/>
      <c r="F56" s="2"/>
    </row>
    <row r="57" spans="1:6" ht="15">
      <c r="A57" s="29"/>
      <c r="B57" s="30"/>
      <c r="C57" s="31"/>
      <c r="D57" s="128"/>
      <c r="E57" s="64"/>
      <c r="F57" s="2"/>
    </row>
    <row r="58" spans="1:6" ht="29.25">
      <c r="A58" s="29"/>
      <c r="B58" s="30" t="s">
        <v>37</v>
      </c>
      <c r="C58" s="43">
        <f>D54</f>
        <v>4077.1518259921404</v>
      </c>
      <c r="D58" s="43"/>
      <c r="E58" s="43"/>
      <c r="F58" s="42"/>
    </row>
    <row r="59" spans="1:6" ht="15">
      <c r="A59" s="29"/>
      <c r="B59" s="30" t="s">
        <v>38</v>
      </c>
      <c r="C59" s="44">
        <f>E54</f>
        <v>3.9691898617524735</v>
      </c>
      <c r="D59" s="42"/>
      <c r="E59" s="42"/>
      <c r="F59" s="42"/>
    </row>
    <row r="60" spans="1:6" ht="15">
      <c r="A60" s="29"/>
      <c r="B60" s="30"/>
      <c r="C60" s="44"/>
      <c r="D60" s="42"/>
      <c r="E60" s="42"/>
      <c r="F60" s="42"/>
    </row>
    <row r="61" spans="1:6" ht="15">
      <c r="A61" s="2"/>
      <c r="B61" s="2"/>
      <c r="C61" s="2"/>
      <c r="D61" s="2"/>
      <c r="E61" s="2"/>
      <c r="F61" s="2"/>
    </row>
    <row r="62" spans="1:6" ht="33" customHeight="1">
      <c r="A62" s="138" t="s">
        <v>39</v>
      </c>
      <c r="B62" s="138"/>
      <c r="C62" s="138"/>
      <c r="D62" s="138"/>
      <c r="E62" s="138"/>
      <c r="F62" s="138"/>
    </row>
    <row r="63" spans="1:6" ht="15">
      <c r="A63" s="1"/>
      <c r="B63" s="1"/>
      <c r="C63" s="1"/>
      <c r="D63" s="2"/>
      <c r="E63" s="2"/>
      <c r="F63" s="2"/>
    </row>
    <row r="64" spans="1:6" ht="71.25">
      <c r="A64" s="8"/>
      <c r="B64" s="9" t="s">
        <v>4</v>
      </c>
      <c r="C64" s="9" t="s">
        <v>5</v>
      </c>
      <c r="D64" s="9" t="s">
        <v>6</v>
      </c>
      <c r="E64" s="9" t="s">
        <v>7</v>
      </c>
      <c r="F64" s="2"/>
    </row>
    <row r="65" spans="1:5" ht="15">
      <c r="A65" s="139" t="s">
        <v>40</v>
      </c>
      <c r="B65" s="139"/>
      <c r="C65" s="139"/>
      <c r="D65" s="12">
        <f>D66</f>
        <v>10.271999999999998</v>
      </c>
      <c r="E65" s="12">
        <f>E66</f>
        <v>0.01</v>
      </c>
    </row>
    <row r="66" spans="1:5" ht="30">
      <c r="A66" s="15">
        <v>1</v>
      </c>
      <c r="B66" s="45" t="s">
        <v>41</v>
      </c>
      <c r="C66" s="45" t="s">
        <v>213</v>
      </c>
      <c r="D66" s="17">
        <f>E66*12*$D$37</f>
        <v>10.271999999999998</v>
      </c>
      <c r="E66" s="46">
        <v>0.01</v>
      </c>
    </row>
    <row r="67" spans="1:5" ht="32.25" customHeight="1">
      <c r="A67" s="139" t="s">
        <v>43</v>
      </c>
      <c r="B67" s="139"/>
      <c r="C67" s="139"/>
      <c r="D67" s="12">
        <f>D68+D69</f>
        <v>82.17599999999999</v>
      </c>
      <c r="E67" s="12">
        <f>E68+E69</f>
        <v>0.08</v>
      </c>
    </row>
    <row r="68" spans="1:5" ht="42.75" customHeight="1">
      <c r="A68" s="15">
        <v>2</v>
      </c>
      <c r="B68" s="45" t="s">
        <v>44</v>
      </c>
      <c r="C68" s="45" t="s">
        <v>45</v>
      </c>
      <c r="D68" s="17">
        <f>E68*12*$D$37</f>
        <v>20.543999999999997</v>
      </c>
      <c r="E68" s="46">
        <v>0.02</v>
      </c>
    </row>
    <row r="69" spans="1:5" ht="15">
      <c r="A69" s="15">
        <v>3</v>
      </c>
      <c r="B69" s="47" t="s">
        <v>46</v>
      </c>
      <c r="C69" s="8" t="s">
        <v>213</v>
      </c>
      <c r="D69" s="17">
        <f>E69*12*$D$37</f>
        <v>61.63199999999999</v>
      </c>
      <c r="E69" s="18">
        <v>0.06</v>
      </c>
    </row>
    <row r="70" spans="1:6" ht="15">
      <c r="A70" s="9"/>
      <c r="B70" s="27" t="s">
        <v>27</v>
      </c>
      <c r="C70" s="27"/>
      <c r="D70" s="48">
        <f>D65+D67</f>
        <v>92.44799999999998</v>
      </c>
      <c r="E70" s="12">
        <f>E65+E67</f>
        <v>0.09</v>
      </c>
      <c r="F70" s="6"/>
    </row>
    <row r="71" spans="1:6" ht="15">
      <c r="A71" s="2"/>
      <c r="B71" s="2"/>
      <c r="C71" s="2"/>
      <c r="D71" s="2"/>
      <c r="E71" s="2"/>
      <c r="F71" s="2"/>
    </row>
    <row r="74" spans="2:3" ht="29.25">
      <c r="B74" s="30" t="s">
        <v>407</v>
      </c>
      <c r="C74" s="132">
        <f>C58+C22</f>
        <v>8266.743610330235</v>
      </c>
    </row>
  </sheetData>
  <sheetProtection/>
  <mergeCells count="16">
    <mergeCell ref="A62:F62"/>
    <mergeCell ref="A65:C65"/>
    <mergeCell ref="A67:C67"/>
    <mergeCell ref="A39:E39"/>
    <mergeCell ref="A42:C42"/>
    <mergeCell ref="A45:C45"/>
    <mergeCell ref="A49:C49"/>
    <mergeCell ref="A52:C52"/>
    <mergeCell ref="A26:F26"/>
    <mergeCell ref="A29:C29"/>
    <mergeCell ref="A31:C31"/>
    <mergeCell ref="A4:E4"/>
    <mergeCell ref="A7:C7"/>
    <mergeCell ref="A10:C10"/>
    <mergeCell ref="A14:C14"/>
    <mergeCell ref="A17:C17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52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408</v>
      </c>
    </row>
    <row r="2" spans="1:6" ht="39" customHeight="1">
      <c r="A2" s="2"/>
      <c r="B2" s="1" t="s">
        <v>409</v>
      </c>
      <c r="C2" s="4"/>
      <c r="D2" s="5">
        <v>100.3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444.085104693967</v>
      </c>
      <c r="E7" s="12">
        <f>SUM(E8:E9)</f>
        <v>0.3689640284928274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406.29927236410526</v>
      </c>
      <c r="E8" s="20">
        <v>0.33757001691932975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37.78583232986177</v>
      </c>
      <c r="E9" s="17">
        <v>0.03139401157349765</v>
      </c>
      <c r="F9" s="21"/>
    </row>
    <row r="10" spans="1:6" ht="15">
      <c r="A10" s="140" t="s">
        <v>64</v>
      </c>
      <c r="B10" s="143"/>
      <c r="C10" s="144"/>
      <c r="D10" s="23">
        <f>SUM(D11:D11)</f>
        <v>38.48540522699294</v>
      </c>
      <c r="E10" s="23">
        <f>SUM(E11:E11)</f>
        <v>0.03197524528663421</v>
      </c>
      <c r="F10" s="21"/>
    </row>
    <row r="11" spans="1:6" ht="60">
      <c r="A11" s="15">
        <v>3</v>
      </c>
      <c r="B11" s="22" t="s">
        <v>19</v>
      </c>
      <c r="C11" s="22" t="s">
        <v>18</v>
      </c>
      <c r="D11" s="17">
        <f>E11*12*$D$2</f>
        <v>38.48540522699294</v>
      </c>
      <c r="E11" s="17">
        <v>0.03197524528663421</v>
      </c>
      <c r="F11" s="2"/>
    </row>
    <row r="12" spans="1:6" ht="15">
      <c r="A12" s="145" t="s">
        <v>67</v>
      </c>
      <c r="B12" s="146"/>
      <c r="C12" s="146"/>
      <c r="D12" s="24">
        <f>SUM(D13:D14)</f>
        <v>308.94859464509324</v>
      </c>
      <c r="E12" s="24">
        <f>SUM(E13:E14)</f>
        <v>0.2566871009015398</v>
      </c>
      <c r="F12" s="2"/>
    </row>
    <row r="13" spans="1:6" ht="60">
      <c r="A13" s="15">
        <v>4</v>
      </c>
      <c r="B13" s="22" t="s">
        <v>86</v>
      </c>
      <c r="C13" s="22" t="s">
        <v>18</v>
      </c>
      <c r="D13" s="17">
        <f>E13*12*$D$2</f>
        <v>14.336891839277216</v>
      </c>
      <c r="E13" s="17">
        <v>0.011911674841539727</v>
      </c>
      <c r="F13" s="2"/>
    </row>
    <row r="14" spans="1:6" ht="60">
      <c r="A14" s="15">
        <v>5</v>
      </c>
      <c r="B14" s="22" t="s">
        <v>22</v>
      </c>
      <c r="C14" s="22" t="s">
        <v>87</v>
      </c>
      <c r="D14" s="17">
        <f>E14*12*$D$2</f>
        <v>294.61170280581604</v>
      </c>
      <c r="E14" s="17">
        <v>0.24477542606000005</v>
      </c>
      <c r="F14" s="2"/>
    </row>
    <row r="15" spans="1:6" ht="15">
      <c r="A15" s="145" t="s">
        <v>70</v>
      </c>
      <c r="B15" s="145"/>
      <c r="C15" s="145"/>
      <c r="D15" s="25">
        <f>SUM(D16)</f>
        <v>171.98114484839581</v>
      </c>
      <c r="E15" s="25">
        <f>SUM(E16)</f>
        <v>0.14288895384546013</v>
      </c>
      <c r="F15" s="2"/>
    </row>
    <row r="16" spans="1:6" ht="15">
      <c r="A16" s="15">
        <v>6</v>
      </c>
      <c r="B16" s="22" t="s">
        <v>25</v>
      </c>
      <c r="C16" s="22" t="s">
        <v>26</v>
      </c>
      <c r="D16" s="17">
        <f>E16*12*$D$2</f>
        <v>171.98114484839581</v>
      </c>
      <c r="E16" s="26">
        <v>0.14288895384546013</v>
      </c>
      <c r="F16" s="2"/>
    </row>
    <row r="17" spans="1:6" ht="15">
      <c r="A17" s="9"/>
      <c r="B17" s="27" t="s">
        <v>27</v>
      </c>
      <c r="C17" s="27"/>
      <c r="D17" s="48">
        <f>D7+D10+D12+D15</f>
        <v>963.5002494144491</v>
      </c>
      <c r="E17" s="12">
        <f>E7+E10+E12+E15</f>
        <v>0.8005153285264615</v>
      </c>
      <c r="F17" s="6"/>
    </row>
    <row r="18" spans="1:6" ht="15">
      <c r="A18" s="29"/>
      <c r="B18" s="30"/>
      <c r="C18" s="31"/>
      <c r="D18" s="128"/>
      <c r="E18" s="64"/>
      <c r="F18" s="2"/>
    </row>
    <row r="19" spans="1:6" ht="29.25">
      <c r="A19" s="29"/>
      <c r="B19" s="30" t="s">
        <v>37</v>
      </c>
      <c r="C19" s="43">
        <f>D17</f>
        <v>963.5002494144491</v>
      </c>
      <c r="D19" s="43"/>
      <c r="E19" s="43"/>
      <c r="F19" s="42"/>
    </row>
    <row r="20" spans="1:6" ht="15">
      <c r="A20" s="29"/>
      <c r="B20" s="30" t="s">
        <v>38</v>
      </c>
      <c r="C20" s="44">
        <f>E17</f>
        <v>0.8005153285264615</v>
      </c>
      <c r="D20" s="42"/>
      <c r="E20" s="42"/>
      <c r="F20" s="42"/>
    </row>
    <row r="21" spans="1:6" ht="15">
      <c r="A21" s="29"/>
      <c r="B21" s="30"/>
      <c r="C21" s="44"/>
      <c r="D21" s="42"/>
      <c r="E21" s="42"/>
      <c r="F21" s="42"/>
    </row>
    <row r="22" spans="1:6" ht="15">
      <c r="A22" s="2"/>
      <c r="B22" s="2"/>
      <c r="C22" s="2"/>
      <c r="D22" s="2"/>
      <c r="E22" s="2"/>
      <c r="F22" s="2"/>
    </row>
    <row r="23" spans="1:6" ht="33" customHeight="1">
      <c r="A23" s="138" t="s">
        <v>39</v>
      </c>
      <c r="B23" s="138"/>
      <c r="C23" s="138"/>
      <c r="D23" s="138"/>
      <c r="E23" s="138"/>
      <c r="F23" s="138"/>
    </row>
    <row r="24" spans="1:6" ht="15">
      <c r="A24" s="1"/>
      <c r="B24" s="1"/>
      <c r="C24" s="1"/>
      <c r="D24" s="2"/>
      <c r="E24" s="2"/>
      <c r="F24" s="2"/>
    </row>
    <row r="25" spans="1:6" ht="71.25">
      <c r="A25" s="8"/>
      <c r="B25" s="9" t="s">
        <v>4</v>
      </c>
      <c r="C25" s="9" t="s">
        <v>5</v>
      </c>
      <c r="D25" s="9" t="s">
        <v>6</v>
      </c>
      <c r="E25" s="9" t="s">
        <v>7</v>
      </c>
      <c r="F25" s="2"/>
    </row>
    <row r="26" spans="1:5" ht="15">
      <c r="A26" s="139" t="s">
        <v>40</v>
      </c>
      <c r="B26" s="139"/>
      <c r="C26" s="139"/>
      <c r="D26" s="12">
        <f>D27</f>
        <v>12.036</v>
      </c>
      <c r="E26" s="12">
        <f>E27</f>
        <v>0.01</v>
      </c>
    </row>
    <row r="27" spans="1:5" ht="30">
      <c r="A27" s="15">
        <v>1</v>
      </c>
      <c r="B27" s="45" t="s">
        <v>41</v>
      </c>
      <c r="C27" s="45" t="s">
        <v>213</v>
      </c>
      <c r="D27" s="17">
        <f>E27*12*$D$2</f>
        <v>12.036</v>
      </c>
      <c r="E27" s="46">
        <v>0.01</v>
      </c>
    </row>
    <row r="28" spans="1:5" ht="32.25" customHeight="1">
      <c r="A28" s="139" t="s">
        <v>43</v>
      </c>
      <c r="B28" s="139"/>
      <c r="C28" s="139"/>
      <c r="D28" s="12">
        <f>D29+D30</f>
        <v>96.28799999999998</v>
      </c>
      <c r="E28" s="12">
        <f>E29+E30</f>
        <v>0.08</v>
      </c>
    </row>
    <row r="29" spans="1:5" ht="28.5" customHeight="1">
      <c r="A29" s="15">
        <v>2</v>
      </c>
      <c r="B29" s="45" t="s">
        <v>44</v>
      </c>
      <c r="C29" s="45" t="s">
        <v>45</v>
      </c>
      <c r="D29" s="17">
        <f>E29*$D$2*12</f>
        <v>24.071999999999996</v>
      </c>
      <c r="E29" s="46">
        <v>0.02</v>
      </c>
    </row>
    <row r="30" spans="1:5" ht="15">
      <c r="A30" s="15">
        <v>3</v>
      </c>
      <c r="B30" s="47" t="s">
        <v>46</v>
      </c>
      <c r="C30" s="8" t="s">
        <v>213</v>
      </c>
      <c r="D30" s="17">
        <f>E30*$D$2*12</f>
        <v>72.216</v>
      </c>
      <c r="E30" s="18">
        <v>0.06</v>
      </c>
    </row>
    <row r="31" spans="1:6" ht="15">
      <c r="A31" s="9"/>
      <c r="B31" s="27" t="s">
        <v>27</v>
      </c>
      <c r="C31" s="27"/>
      <c r="D31" s="48">
        <f>D26+D28</f>
        <v>108.32399999999998</v>
      </c>
      <c r="E31" s="12">
        <f>E26+E28</f>
        <v>0.09</v>
      </c>
      <c r="F31" s="6"/>
    </row>
    <row r="32" spans="1:6" ht="15">
      <c r="A32" s="2"/>
      <c r="B32" s="2"/>
      <c r="C32" s="2"/>
      <c r="D32" s="2"/>
      <c r="E32" s="2"/>
      <c r="F32" s="2"/>
    </row>
    <row r="34" spans="1:6" ht="39" customHeight="1">
      <c r="A34" s="2"/>
      <c r="B34" s="1" t="s">
        <v>410</v>
      </c>
      <c r="C34" s="4"/>
      <c r="D34" s="5">
        <v>100.6</v>
      </c>
      <c r="E34" s="6" t="s">
        <v>2</v>
      </c>
      <c r="F34" s="2"/>
    </row>
    <row r="35" spans="1:6" ht="15">
      <c r="A35" s="2"/>
      <c r="B35" s="7"/>
      <c r="C35" s="2"/>
      <c r="D35" s="2"/>
      <c r="E35" s="2"/>
      <c r="F35" s="2"/>
    </row>
    <row r="36" spans="1:6" ht="30.75" customHeight="1">
      <c r="A36" s="138" t="s">
        <v>3</v>
      </c>
      <c r="B36" s="138"/>
      <c r="C36" s="138"/>
      <c r="D36" s="138"/>
      <c r="E36" s="138"/>
      <c r="F36" s="2"/>
    </row>
    <row r="37" spans="1:6" ht="15">
      <c r="A37" s="1"/>
      <c r="B37" s="1"/>
      <c r="C37" s="1"/>
      <c r="D37" s="1"/>
      <c r="E37" s="1"/>
      <c r="F37" s="2"/>
    </row>
    <row r="38" spans="1:6" ht="71.25">
      <c r="A38" s="8"/>
      <c r="B38" s="9" t="s">
        <v>4</v>
      </c>
      <c r="C38" s="9" t="s">
        <v>5</v>
      </c>
      <c r="D38" s="9" t="s">
        <v>6</v>
      </c>
      <c r="E38" s="9" t="s">
        <v>7</v>
      </c>
      <c r="F38" s="2"/>
    </row>
    <row r="39" spans="1:6" ht="15">
      <c r="A39" s="140" t="s">
        <v>61</v>
      </c>
      <c r="B39" s="141"/>
      <c r="C39" s="142"/>
      <c r="D39" s="12">
        <f>SUM(D40:D41)</f>
        <v>1924.3687870071872</v>
      </c>
      <c r="E39" s="12">
        <f>SUM(E40:E41)</f>
        <v>1.5940761986474383</v>
      </c>
      <c r="F39" s="19"/>
    </row>
    <row r="40" spans="1:6" ht="15.75" customHeight="1">
      <c r="A40" s="15">
        <v>1</v>
      </c>
      <c r="B40" s="8" t="s">
        <v>12</v>
      </c>
      <c r="C40" s="16" t="s">
        <v>13</v>
      </c>
      <c r="D40" s="17">
        <f>E40*$D$34*12</f>
        <v>1760.6301802444532</v>
      </c>
      <c r="E40" s="20">
        <v>1.4584411698512703</v>
      </c>
      <c r="F40" s="21"/>
    </row>
    <row r="41" spans="1:6" ht="30">
      <c r="A41" s="15">
        <v>2</v>
      </c>
      <c r="B41" s="22" t="s">
        <v>14</v>
      </c>
      <c r="C41" s="22" t="s">
        <v>15</v>
      </c>
      <c r="D41" s="17">
        <f>E41*$D$34*12</f>
        <v>163.73860676273404</v>
      </c>
      <c r="E41" s="17">
        <v>0.135635028796168</v>
      </c>
      <c r="F41" s="21"/>
    </row>
    <row r="42" spans="1:6" ht="15">
      <c r="A42" s="140" t="s">
        <v>64</v>
      </c>
      <c r="B42" s="143"/>
      <c r="C42" s="144"/>
      <c r="D42" s="23">
        <f>SUM(D43:D44)</f>
        <v>85.675635178242</v>
      </c>
      <c r="E42" s="23">
        <f>SUM(E43:E44)</f>
        <v>0.07097053941206263</v>
      </c>
      <c r="F42" s="21"/>
    </row>
    <row r="43" spans="1:6" ht="16.5" customHeight="1">
      <c r="A43" s="15">
        <v>3</v>
      </c>
      <c r="B43" s="22" t="s">
        <v>17</v>
      </c>
      <c r="C43" s="22" t="s">
        <v>18</v>
      </c>
      <c r="D43" s="17">
        <f>E43*12*$D$34</f>
        <v>47.19022995124917</v>
      </c>
      <c r="E43" s="17">
        <v>0.03909064773960336</v>
      </c>
      <c r="F43" s="21"/>
    </row>
    <row r="44" spans="1:6" ht="60">
      <c r="A44" s="15">
        <v>4</v>
      </c>
      <c r="B44" s="22" t="s">
        <v>19</v>
      </c>
      <c r="C44" s="22" t="s">
        <v>18</v>
      </c>
      <c r="D44" s="17">
        <f>E44*12*$D$34</f>
        <v>38.485405226992825</v>
      </c>
      <c r="E44" s="17">
        <v>0.03187989167245927</v>
      </c>
      <c r="F44" s="2"/>
    </row>
    <row r="45" spans="1:6" ht="15">
      <c r="A45" s="145" t="s">
        <v>67</v>
      </c>
      <c r="B45" s="146"/>
      <c r="C45" s="146"/>
      <c r="D45" s="24">
        <f>SUM(D46:D47)</f>
        <v>313.37167897045225</v>
      </c>
      <c r="E45" s="24">
        <f>SUM(E46:E47)</f>
        <v>0.25958555249374776</v>
      </c>
      <c r="F45" s="2"/>
    </row>
    <row r="46" spans="1:6" ht="60">
      <c r="A46" s="15">
        <v>5</v>
      </c>
      <c r="B46" s="22" t="s">
        <v>86</v>
      </c>
      <c r="C46" s="22" t="s">
        <v>18</v>
      </c>
      <c r="D46" s="17">
        <f>E46*12*$D$34</f>
        <v>13.176963154597571</v>
      </c>
      <c r="E46" s="17">
        <v>0.010915310764245834</v>
      </c>
      <c r="F46" s="2"/>
    </row>
    <row r="47" spans="1:6" ht="60">
      <c r="A47" s="15">
        <v>6</v>
      </c>
      <c r="B47" s="22" t="s">
        <v>22</v>
      </c>
      <c r="C47" s="22" t="s">
        <v>87</v>
      </c>
      <c r="D47" s="17">
        <f>E47*12*$D$34</f>
        <v>300.1947158158547</v>
      </c>
      <c r="E47" s="17">
        <v>0.24867024172950192</v>
      </c>
      <c r="F47" s="2"/>
    </row>
    <row r="48" spans="1:6" ht="15">
      <c r="A48" s="145" t="s">
        <v>70</v>
      </c>
      <c r="B48" s="145"/>
      <c r="C48" s="145"/>
      <c r="D48" s="25">
        <f>SUM(D49)</f>
        <v>196.50423151900353</v>
      </c>
      <c r="E48" s="25">
        <f>SUM(E49)</f>
        <v>0.162776865075384</v>
      </c>
      <c r="F48" s="2"/>
    </row>
    <row r="49" spans="1:6" ht="15">
      <c r="A49" s="15">
        <v>7</v>
      </c>
      <c r="B49" s="22" t="s">
        <v>25</v>
      </c>
      <c r="C49" s="22" t="s">
        <v>26</v>
      </c>
      <c r="D49" s="17">
        <f>E49*12*$D$34</f>
        <v>196.50423151900353</v>
      </c>
      <c r="E49" s="26">
        <f>0.161956865075384+0.00082</f>
        <v>0.162776865075384</v>
      </c>
      <c r="F49" s="2"/>
    </row>
    <row r="50" spans="1:6" ht="15">
      <c r="A50" s="9"/>
      <c r="B50" s="27" t="s">
        <v>27</v>
      </c>
      <c r="C50" s="27"/>
      <c r="D50" s="48">
        <f>D39+D42+D45+D48</f>
        <v>2519.920332674885</v>
      </c>
      <c r="E50" s="12">
        <f>E39+E42+E45+E48</f>
        <v>2.0874091556286327</v>
      </c>
      <c r="F50" s="6"/>
    </row>
    <row r="51" spans="1:6" ht="15">
      <c r="A51" s="29"/>
      <c r="B51" s="30"/>
      <c r="C51" s="31"/>
      <c r="D51" s="128"/>
      <c r="E51" s="64"/>
      <c r="F51" s="2"/>
    </row>
    <row r="52" spans="1:6" ht="29.25">
      <c r="A52" s="29"/>
      <c r="B52" s="30" t="s">
        <v>37</v>
      </c>
      <c r="C52" s="43">
        <f>D50</f>
        <v>2519.920332674885</v>
      </c>
      <c r="D52" s="43"/>
      <c r="E52" s="43"/>
      <c r="F52" s="42"/>
    </row>
    <row r="53" spans="1:6" ht="15">
      <c r="A53" s="29"/>
      <c r="B53" s="30" t="s">
        <v>38</v>
      </c>
      <c r="C53" s="44">
        <f>E50</f>
        <v>2.0874091556286327</v>
      </c>
      <c r="D53" s="42"/>
      <c r="E53" s="42"/>
      <c r="F53" s="42"/>
    </row>
    <row r="54" spans="1:6" ht="15">
      <c r="A54" s="29"/>
      <c r="B54" s="30"/>
      <c r="C54" s="44"/>
      <c r="D54" s="42"/>
      <c r="E54" s="42"/>
      <c r="F54" s="42"/>
    </row>
    <row r="55" spans="1:6" ht="15">
      <c r="A55" s="2"/>
      <c r="B55" s="2"/>
      <c r="C55" s="2"/>
      <c r="D55" s="2"/>
      <c r="E55" s="2"/>
      <c r="F55" s="2"/>
    </row>
    <row r="56" spans="1:6" ht="33" customHeight="1">
      <c r="A56" s="138" t="s">
        <v>39</v>
      </c>
      <c r="B56" s="138"/>
      <c r="C56" s="138"/>
      <c r="D56" s="138"/>
      <c r="E56" s="138"/>
      <c r="F56" s="138"/>
    </row>
    <row r="57" spans="1:6" ht="15">
      <c r="A57" s="1"/>
      <c r="B57" s="1"/>
      <c r="C57" s="1"/>
      <c r="D57" s="2"/>
      <c r="E57" s="2"/>
      <c r="F57" s="2"/>
    </row>
    <row r="58" spans="1:6" ht="71.25">
      <c r="A58" s="8"/>
      <c r="B58" s="9" t="s">
        <v>4</v>
      </c>
      <c r="C58" s="9" t="s">
        <v>5</v>
      </c>
      <c r="D58" s="9" t="s">
        <v>6</v>
      </c>
      <c r="E58" s="9" t="s">
        <v>7</v>
      </c>
      <c r="F58" s="2"/>
    </row>
    <row r="59" spans="1:5" ht="15">
      <c r="A59" s="139" t="s">
        <v>40</v>
      </c>
      <c r="B59" s="139"/>
      <c r="C59" s="139"/>
      <c r="D59" s="12">
        <f>D60</f>
        <v>12.036</v>
      </c>
      <c r="E59" s="12">
        <f>E60</f>
        <v>0.01</v>
      </c>
    </row>
    <row r="60" spans="1:5" ht="30">
      <c r="A60" s="15">
        <v>1</v>
      </c>
      <c r="B60" s="45" t="s">
        <v>41</v>
      </c>
      <c r="C60" s="45" t="s">
        <v>213</v>
      </c>
      <c r="D60" s="17">
        <f>E60*12*$D$2</f>
        <v>12.036</v>
      </c>
      <c r="E60" s="46">
        <v>0.01</v>
      </c>
    </row>
    <row r="61" spans="1:5" ht="32.25" customHeight="1">
      <c r="A61" s="139" t="s">
        <v>43</v>
      </c>
      <c r="B61" s="139"/>
      <c r="C61" s="139"/>
      <c r="D61" s="12">
        <f>D62+D63</f>
        <v>96.28799999999998</v>
      </c>
      <c r="E61" s="12">
        <f>E62+E63</f>
        <v>0.08</v>
      </c>
    </row>
    <row r="62" spans="1:5" ht="44.25" customHeight="1">
      <c r="A62" s="15">
        <v>2</v>
      </c>
      <c r="B62" s="45" t="s">
        <v>44</v>
      </c>
      <c r="C62" s="45" t="s">
        <v>45</v>
      </c>
      <c r="D62" s="17">
        <f>E62*$D$2*12</f>
        <v>24.071999999999996</v>
      </c>
      <c r="E62" s="46">
        <v>0.02</v>
      </c>
    </row>
    <row r="63" spans="1:5" ht="15">
      <c r="A63" s="15">
        <v>3</v>
      </c>
      <c r="B63" s="47" t="s">
        <v>46</v>
      </c>
      <c r="C63" s="8" t="s">
        <v>213</v>
      </c>
      <c r="D63" s="17">
        <f>E63*$D$2*12</f>
        <v>72.216</v>
      </c>
      <c r="E63" s="18">
        <v>0.06</v>
      </c>
    </row>
    <row r="64" spans="1:6" ht="15">
      <c r="A64" s="9"/>
      <c r="B64" s="27" t="s">
        <v>27</v>
      </c>
      <c r="C64" s="27"/>
      <c r="D64" s="48">
        <f>D59+D61</f>
        <v>108.32399999999998</v>
      </c>
      <c r="E64" s="12">
        <f>E59+E61</f>
        <v>0.09</v>
      </c>
      <c r="F64" s="6"/>
    </row>
    <row r="65" spans="1:6" ht="15">
      <c r="A65" s="2"/>
      <c r="B65" s="2"/>
      <c r="C65" s="2"/>
      <c r="D65" s="2"/>
      <c r="E65" s="2"/>
      <c r="F65" s="2"/>
    </row>
    <row r="66" spans="2:3" ht="29.25">
      <c r="B66" s="30" t="s">
        <v>411</v>
      </c>
      <c r="C66" s="43">
        <f>C52+C19</f>
        <v>3483.420582089334</v>
      </c>
    </row>
    <row r="69" spans="2:3" ht="15.75">
      <c r="B69" s="30"/>
      <c r="C69" s="132"/>
    </row>
  </sheetData>
  <sheetProtection/>
  <mergeCells count="16">
    <mergeCell ref="A23:F23"/>
    <mergeCell ref="A26:C26"/>
    <mergeCell ref="A28:C28"/>
    <mergeCell ref="A4:E4"/>
    <mergeCell ref="A7:C7"/>
    <mergeCell ref="A10:C10"/>
    <mergeCell ref="A12:C12"/>
    <mergeCell ref="A15:C15"/>
    <mergeCell ref="A56:F56"/>
    <mergeCell ref="A59:C59"/>
    <mergeCell ref="A61:C61"/>
    <mergeCell ref="A36:E36"/>
    <mergeCell ref="A39:C39"/>
    <mergeCell ref="A42:C42"/>
    <mergeCell ref="A45:C45"/>
    <mergeCell ref="A48:C48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workbookViewId="0" topLeftCell="A19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242</v>
      </c>
    </row>
    <row r="2" spans="1:6" ht="22.5" customHeight="1">
      <c r="A2" s="2"/>
      <c r="B2" s="1" t="s">
        <v>243</v>
      </c>
      <c r="C2" s="4"/>
      <c r="D2" s="5">
        <v>56.9</v>
      </c>
      <c r="E2" s="6" t="s">
        <v>2</v>
      </c>
      <c r="F2" s="2"/>
    </row>
    <row r="3" spans="1:6" ht="18.75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21.75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444.0851046939669</v>
      </c>
      <c r="E7" s="12">
        <f>SUM(E8:E9)</f>
        <v>0.6503882611218028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406.29927236410515</v>
      </c>
      <c r="E8" s="63">
        <v>0.5950487292971663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37.78583232986178</v>
      </c>
      <c r="E9" s="63">
        <v>0.05533953182463647</v>
      </c>
      <c r="F9" s="21"/>
    </row>
    <row r="10" spans="1:6" ht="18.75" customHeight="1">
      <c r="A10" s="140" t="s">
        <v>64</v>
      </c>
      <c r="B10" s="143"/>
      <c r="C10" s="144"/>
      <c r="D10" s="23">
        <f>SUM(D11:D12)</f>
        <v>85.67563517824212</v>
      </c>
      <c r="E10" s="23">
        <f>SUM(E11:E12)</f>
        <v>0.12547691150884904</v>
      </c>
      <c r="F10" s="21"/>
    </row>
    <row r="11" spans="1:6" ht="30" customHeight="1">
      <c r="A11" s="15">
        <v>3</v>
      </c>
      <c r="B11" s="22" t="s">
        <v>17</v>
      </c>
      <c r="C11" s="22" t="s">
        <v>18</v>
      </c>
      <c r="D11" s="17">
        <f>E11*12*$D$2</f>
        <v>47.19022995124923</v>
      </c>
      <c r="E11" s="60">
        <v>0.06911281480850795</v>
      </c>
      <c r="F11" s="13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38.485405226992896</v>
      </c>
      <c r="E12" s="17">
        <v>0.05636409670034109</v>
      </c>
      <c r="F12" s="2"/>
    </row>
    <row r="13" spans="1:9" ht="15">
      <c r="A13" s="145" t="s">
        <v>67</v>
      </c>
      <c r="B13" s="146"/>
      <c r="C13" s="146"/>
      <c r="D13" s="24">
        <f>SUM(D14:D15)</f>
        <v>251.89050512359387</v>
      </c>
      <c r="E13" s="24">
        <f>SUM(E14:E15)</f>
        <v>0.3689081797357848</v>
      </c>
      <c r="F13" s="2"/>
      <c r="H13" s="64"/>
      <c r="I13" s="65"/>
    </row>
    <row r="14" spans="1:10" ht="60">
      <c r="A14" s="15">
        <v>5</v>
      </c>
      <c r="B14" s="22" t="s">
        <v>86</v>
      </c>
      <c r="C14" s="22" t="s">
        <v>18</v>
      </c>
      <c r="D14" s="17">
        <f>E14*12*$D$2</f>
        <v>13.17696315459757</v>
      </c>
      <c r="E14" s="63">
        <v>0.019298422897770312</v>
      </c>
      <c r="F14" s="2"/>
      <c r="H14" s="64"/>
      <c r="I14" s="64"/>
      <c r="J14" s="65"/>
    </row>
    <row r="15" spans="1:10" ht="60">
      <c r="A15" s="15">
        <v>6</v>
      </c>
      <c r="B15" s="22" t="s">
        <v>22</v>
      </c>
      <c r="C15" s="22" t="s">
        <v>87</v>
      </c>
      <c r="D15" s="17">
        <f>E15*12*$D$2</f>
        <v>238.7135419689963</v>
      </c>
      <c r="E15" s="63">
        <v>0.34960975683801454</v>
      </c>
      <c r="F15" s="2"/>
      <c r="H15" s="64"/>
      <c r="I15" s="64"/>
      <c r="J15" s="65"/>
    </row>
    <row r="16" spans="1:6" ht="15">
      <c r="A16" s="145" t="s">
        <v>70</v>
      </c>
      <c r="B16" s="145"/>
      <c r="C16" s="145"/>
      <c r="D16" s="25">
        <f>SUM(D17)</f>
        <v>172.12486775330828</v>
      </c>
      <c r="E16" s="23">
        <f>SUM(E17)</f>
        <v>0.25120806642253707</v>
      </c>
      <c r="F16" s="2"/>
    </row>
    <row r="17" spans="1:9" ht="15">
      <c r="A17" s="15">
        <v>7</v>
      </c>
      <c r="B17" s="22" t="s">
        <v>25</v>
      </c>
      <c r="C17" s="22" t="s">
        <v>26</v>
      </c>
      <c r="D17" s="17">
        <f>E17*12*$D$2+0.6</f>
        <v>172.12486775330828</v>
      </c>
      <c r="E17" s="63">
        <v>0.25120806642253707</v>
      </c>
      <c r="F17" s="2"/>
      <c r="H17" s="64"/>
      <c r="I17" s="80"/>
    </row>
    <row r="18" spans="1:6" ht="15">
      <c r="A18" s="9"/>
      <c r="B18" s="27" t="s">
        <v>27</v>
      </c>
      <c r="C18" s="27"/>
      <c r="D18" s="74">
        <f>D7+D10+D13+D16</f>
        <v>953.7761127491112</v>
      </c>
      <c r="E18" s="12">
        <f>E7+E10+E13+E16</f>
        <v>1.3959814187889739</v>
      </c>
      <c r="F18" s="6"/>
    </row>
    <row r="19" spans="1:6" ht="33" customHeight="1">
      <c r="A19" s="29"/>
      <c r="B19" s="30"/>
      <c r="C19" s="31"/>
      <c r="D19" s="32"/>
      <c r="E19" s="33"/>
      <c r="F19" s="2"/>
    </row>
    <row r="20" spans="1:6" ht="29.25">
      <c r="A20" s="29"/>
      <c r="B20" s="30" t="s">
        <v>37</v>
      </c>
      <c r="C20" s="43">
        <f>D18</f>
        <v>953.7761127491112</v>
      </c>
      <c r="D20" s="43"/>
      <c r="E20" s="43"/>
      <c r="F20" s="42"/>
    </row>
    <row r="21" spans="1:6" ht="15">
      <c r="A21" s="29"/>
      <c r="B21" s="30" t="s">
        <v>38</v>
      </c>
      <c r="C21" s="44">
        <f>E18</f>
        <v>1.3959814187889739</v>
      </c>
      <c r="D21" s="42"/>
      <c r="E21" s="42"/>
      <c r="F21" s="42"/>
    </row>
    <row r="22" spans="1:6" ht="15">
      <c r="A22" s="29"/>
      <c r="B22" s="30"/>
      <c r="C22" s="44"/>
      <c r="D22" s="42"/>
      <c r="E22" s="42"/>
      <c r="F22" s="42"/>
    </row>
    <row r="23" spans="1:6" ht="33" customHeight="1">
      <c r="A23" s="138" t="s">
        <v>39</v>
      </c>
      <c r="B23" s="138"/>
      <c r="C23" s="138"/>
      <c r="D23" s="138"/>
      <c r="E23" s="138"/>
      <c r="F23" s="138"/>
    </row>
    <row r="24" spans="1:6" ht="15">
      <c r="A24" s="1"/>
      <c r="B24" s="1"/>
      <c r="C24" s="1"/>
      <c r="D24" s="2"/>
      <c r="E24" s="2"/>
      <c r="F24" s="2"/>
    </row>
    <row r="25" spans="1:6" ht="71.25">
      <c r="A25" s="8"/>
      <c r="B25" s="9" t="s">
        <v>4</v>
      </c>
      <c r="C25" s="9" t="s">
        <v>5</v>
      </c>
      <c r="D25" s="9" t="s">
        <v>6</v>
      </c>
      <c r="E25" s="9" t="s">
        <v>7</v>
      </c>
      <c r="F25" s="2"/>
    </row>
    <row r="26" spans="1:5" ht="32.25" customHeight="1">
      <c r="A26" s="139" t="s">
        <v>40</v>
      </c>
      <c r="B26" s="139"/>
      <c r="C26" s="139"/>
      <c r="D26" s="12">
        <f>D27</f>
        <v>6.827999999999999</v>
      </c>
      <c r="E26" s="12">
        <f>E27</f>
        <v>0.01</v>
      </c>
    </row>
    <row r="27" spans="1:5" ht="30">
      <c r="A27" s="15">
        <v>1</v>
      </c>
      <c r="B27" s="45" t="s">
        <v>41</v>
      </c>
      <c r="C27" s="45" t="s">
        <v>42</v>
      </c>
      <c r="D27" s="17">
        <f>E27*12*$D$2</f>
        <v>6.827999999999999</v>
      </c>
      <c r="E27" s="46">
        <v>0.01</v>
      </c>
    </row>
    <row r="28" spans="1:5" ht="32.25" customHeight="1">
      <c r="A28" s="139" t="s">
        <v>43</v>
      </c>
      <c r="B28" s="139"/>
      <c r="C28" s="139"/>
      <c r="D28" s="12">
        <f>D29</f>
        <v>40.967999999999996</v>
      </c>
      <c r="E28" s="12">
        <f>E29</f>
        <v>0.06</v>
      </c>
    </row>
    <row r="29" spans="1:5" ht="15">
      <c r="A29" s="15">
        <v>2</v>
      </c>
      <c r="B29" s="47" t="s">
        <v>46</v>
      </c>
      <c r="C29" s="8" t="s">
        <v>42</v>
      </c>
      <c r="D29" s="17">
        <f>E29*$D$2*12</f>
        <v>40.967999999999996</v>
      </c>
      <c r="E29" s="18">
        <v>0.06</v>
      </c>
    </row>
    <row r="30" spans="1:6" ht="15">
      <c r="A30" s="9"/>
      <c r="B30" s="27" t="s">
        <v>27</v>
      </c>
      <c r="C30" s="27"/>
      <c r="D30" s="48">
        <f>D26+D28</f>
        <v>47.79599999999999</v>
      </c>
      <c r="E30" s="12">
        <f>E26+E28</f>
        <v>0.06999999999999999</v>
      </c>
      <c r="F30" s="6"/>
    </row>
    <row r="31" spans="1:6" ht="15">
      <c r="A31" s="2"/>
      <c r="B31" s="2"/>
      <c r="C31" s="2"/>
      <c r="D31" s="2"/>
      <c r="E31" s="2"/>
      <c r="F31" s="2"/>
    </row>
    <row r="32" spans="1:6" s="56" customFormat="1" ht="43.5">
      <c r="A32" s="30"/>
      <c r="B32" s="30" t="s">
        <v>244</v>
      </c>
      <c r="C32" s="30"/>
      <c r="D32" s="105">
        <v>953.7761127491112</v>
      </c>
      <c r="E32" s="30"/>
      <c r="F32" s="29"/>
    </row>
  </sheetData>
  <mergeCells count="8">
    <mergeCell ref="A16:C16"/>
    <mergeCell ref="A23:F23"/>
    <mergeCell ref="A26:C26"/>
    <mergeCell ref="A28:C28"/>
    <mergeCell ref="A4:E4"/>
    <mergeCell ref="A7:C7"/>
    <mergeCell ref="A10:C10"/>
    <mergeCell ref="A13:C1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workbookViewId="0" topLeftCell="A16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245</v>
      </c>
    </row>
    <row r="2" spans="1:6" ht="19.5" customHeight="1">
      <c r="A2" s="2"/>
      <c r="B2" s="1" t="s">
        <v>246</v>
      </c>
      <c r="C2" s="4"/>
      <c r="D2" s="5">
        <v>74.1</v>
      </c>
      <c r="E2" s="6" t="s">
        <v>2</v>
      </c>
      <c r="F2" s="2"/>
    </row>
    <row r="3" spans="1:6" ht="9.75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6.75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444.0851046939669</v>
      </c>
      <c r="E7" s="12">
        <f>SUM(E8:E9)</f>
        <v>0.4994209454498054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406.29927236410515</v>
      </c>
      <c r="E8" s="60">
        <v>0.4569267570446527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37.78583232986178</v>
      </c>
      <c r="E9" s="60">
        <v>0.042494188405152705</v>
      </c>
      <c r="F9" s="21"/>
    </row>
    <row r="10" spans="1:6" ht="15.75" customHeight="1">
      <c r="A10" s="140" t="s">
        <v>64</v>
      </c>
      <c r="B10" s="143"/>
      <c r="C10" s="144"/>
      <c r="D10" s="23">
        <f>SUM(D11:D11)</f>
        <v>38.485405226992896</v>
      </c>
      <c r="E10" s="24">
        <f>E11</f>
        <v>0.043280932553973125</v>
      </c>
      <c r="F10" s="21"/>
    </row>
    <row r="11" spans="1:6" ht="60">
      <c r="A11" s="15">
        <v>3</v>
      </c>
      <c r="B11" s="22" t="s">
        <v>19</v>
      </c>
      <c r="C11" s="22" t="s">
        <v>18</v>
      </c>
      <c r="D11" s="17">
        <f>E11*12*$D$2</f>
        <v>38.485405226992896</v>
      </c>
      <c r="E11" s="60">
        <v>0.043280932553973125</v>
      </c>
      <c r="F11" s="2"/>
    </row>
    <row r="12" spans="1:9" ht="15">
      <c r="A12" s="145" t="s">
        <v>67</v>
      </c>
      <c r="B12" s="146"/>
      <c r="C12" s="146"/>
      <c r="D12" s="24">
        <f>SUM(D13:D14)</f>
        <v>270.03360069182924</v>
      </c>
      <c r="E12" s="24">
        <f>SUM(E13:E14)</f>
        <v>0.3036815122490208</v>
      </c>
      <c r="F12" s="2"/>
      <c r="H12" s="85"/>
      <c r="I12" s="65"/>
    </row>
    <row r="13" spans="1:10" ht="60">
      <c r="A13" s="15">
        <v>4</v>
      </c>
      <c r="B13" s="22" t="s">
        <v>86</v>
      </c>
      <c r="C13" s="22" t="s">
        <v>18</v>
      </c>
      <c r="D13" s="17">
        <f>E13*12*$D$2</f>
        <v>5.772810784048934</v>
      </c>
      <c r="E13" s="83">
        <v>0.006492139883095968</v>
      </c>
      <c r="F13" s="2"/>
      <c r="H13" s="85"/>
      <c r="I13" s="64"/>
      <c r="J13" s="65"/>
    </row>
    <row r="14" spans="1:10" ht="60">
      <c r="A14" s="15">
        <v>5</v>
      </c>
      <c r="B14" s="22" t="s">
        <v>22</v>
      </c>
      <c r="C14" s="22" t="s">
        <v>87</v>
      </c>
      <c r="D14" s="17">
        <f>E14*12*$D$2</f>
        <v>264.2607899077803</v>
      </c>
      <c r="E14" s="83">
        <v>0.2971893723659248</v>
      </c>
      <c r="F14" s="2"/>
      <c r="H14" s="85"/>
      <c r="I14" s="64"/>
      <c r="J14" s="65"/>
    </row>
    <row r="15" spans="1:9" ht="15">
      <c r="A15" s="145" t="s">
        <v>70</v>
      </c>
      <c r="B15" s="145"/>
      <c r="C15" s="145"/>
      <c r="D15" s="25">
        <f>SUM(D16)</f>
        <v>215.74719747375056</v>
      </c>
      <c r="E15" s="23">
        <f>SUM(E16)</f>
        <v>0.242630676421222</v>
      </c>
      <c r="F15" s="2"/>
      <c r="H15" s="56"/>
      <c r="I15" s="56"/>
    </row>
    <row r="16" spans="1:9" ht="15">
      <c r="A16" s="15">
        <v>6</v>
      </c>
      <c r="B16" s="22" t="s">
        <v>25</v>
      </c>
      <c r="C16" s="22" t="s">
        <v>26</v>
      </c>
      <c r="D16" s="17">
        <f>E16*12*$D$2</f>
        <v>215.74719747375056</v>
      </c>
      <c r="E16" s="83">
        <f>0.192730676421222+0.0499</f>
        <v>0.242630676421222</v>
      </c>
      <c r="F16" s="2"/>
      <c r="H16" s="113"/>
      <c r="I16" s="85"/>
    </row>
    <row r="17" spans="1:6" ht="15">
      <c r="A17" s="9"/>
      <c r="B17" s="27" t="s">
        <v>27</v>
      </c>
      <c r="C17" s="27"/>
      <c r="D17" s="48">
        <f>D7+D10+D12+D15</f>
        <v>968.3513080865397</v>
      </c>
      <c r="E17" s="12">
        <f>E7+E10+E12+E15</f>
        <v>1.0890140666740213</v>
      </c>
      <c r="F17" s="6"/>
    </row>
    <row r="18" spans="1:6" ht="6" customHeight="1">
      <c r="A18" s="29"/>
      <c r="B18" s="30"/>
      <c r="C18" s="31"/>
      <c r="D18" s="32"/>
      <c r="E18" s="33"/>
      <c r="F18" s="2"/>
    </row>
    <row r="19" spans="1:6" ht="29.25">
      <c r="A19" s="29"/>
      <c r="B19" s="30" t="s">
        <v>37</v>
      </c>
      <c r="C19" s="43">
        <f>D17</f>
        <v>968.3513080865397</v>
      </c>
      <c r="D19" s="43"/>
      <c r="E19" s="43"/>
      <c r="F19" s="42"/>
    </row>
    <row r="20" spans="1:6" ht="15">
      <c r="A20" s="29"/>
      <c r="B20" s="30" t="s">
        <v>38</v>
      </c>
      <c r="C20" s="44">
        <f>E17</f>
        <v>1.0890140666740213</v>
      </c>
      <c r="D20" s="42"/>
      <c r="E20" s="42"/>
      <c r="F20" s="42"/>
    </row>
    <row r="21" spans="1:6" ht="6" customHeight="1">
      <c r="A21" s="29"/>
      <c r="B21" s="30"/>
      <c r="C21" s="44"/>
      <c r="D21" s="42"/>
      <c r="E21" s="42"/>
      <c r="F21" s="42"/>
    </row>
    <row r="22" spans="1:6" ht="33" customHeight="1">
      <c r="A22" s="138" t="s">
        <v>39</v>
      </c>
      <c r="B22" s="138"/>
      <c r="C22" s="138"/>
      <c r="D22" s="138"/>
      <c r="E22" s="138"/>
      <c r="F22" s="138"/>
    </row>
    <row r="23" spans="1:6" ht="11.25" customHeight="1">
      <c r="A23" s="1"/>
      <c r="B23" s="1"/>
      <c r="C23" s="1"/>
      <c r="D23" s="2"/>
      <c r="E23" s="2"/>
      <c r="F23" s="2"/>
    </row>
    <row r="24" spans="1:6" ht="71.25">
      <c r="A24" s="8"/>
      <c r="B24" s="9" t="s">
        <v>4</v>
      </c>
      <c r="C24" s="9" t="s">
        <v>5</v>
      </c>
      <c r="D24" s="9" t="s">
        <v>6</v>
      </c>
      <c r="E24" s="9" t="s">
        <v>7</v>
      </c>
      <c r="F24" s="2"/>
    </row>
    <row r="25" spans="1:5" ht="27" customHeight="1">
      <c r="A25" s="139" t="s">
        <v>40</v>
      </c>
      <c r="B25" s="139"/>
      <c r="C25" s="139"/>
      <c r="D25" s="12">
        <f>D26</f>
        <v>8.892</v>
      </c>
      <c r="E25" s="12">
        <f>E26</f>
        <v>0.01</v>
      </c>
    </row>
    <row r="26" spans="1:5" ht="30">
      <c r="A26" s="15">
        <v>1</v>
      </c>
      <c r="B26" s="45" t="s">
        <v>41</v>
      </c>
      <c r="C26" s="45" t="s">
        <v>42</v>
      </c>
      <c r="D26" s="17">
        <f>E26*12*$D$2</f>
        <v>8.892</v>
      </c>
      <c r="E26" s="46">
        <v>0.01</v>
      </c>
    </row>
    <row r="27" spans="1:5" ht="32.25" customHeight="1">
      <c r="A27" s="139" t="s">
        <v>43</v>
      </c>
      <c r="B27" s="139"/>
      <c r="C27" s="139"/>
      <c r="D27" s="12">
        <f>D28</f>
        <v>53.352</v>
      </c>
      <c r="E27" s="12">
        <f>E28</f>
        <v>0.06</v>
      </c>
    </row>
    <row r="28" spans="1:5" ht="15">
      <c r="A28" s="15">
        <v>2</v>
      </c>
      <c r="B28" s="47" t="s">
        <v>46</v>
      </c>
      <c r="C28" s="8" t="s">
        <v>42</v>
      </c>
      <c r="D28" s="17">
        <f>E28*$D$2*12</f>
        <v>53.352</v>
      </c>
      <c r="E28" s="18">
        <v>0.06</v>
      </c>
    </row>
    <row r="29" spans="1:6" ht="15">
      <c r="A29" s="9"/>
      <c r="B29" s="27" t="s">
        <v>27</v>
      </c>
      <c r="C29" s="27"/>
      <c r="D29" s="48">
        <f>D25+D27</f>
        <v>62.244</v>
      </c>
      <c r="E29" s="12">
        <f>E25+E27</f>
        <v>0.06999999999999999</v>
      </c>
      <c r="F29" s="6"/>
    </row>
    <row r="30" spans="1:6" ht="15">
      <c r="A30" s="2"/>
      <c r="B30" s="2"/>
      <c r="C30" s="2"/>
      <c r="D30" s="2"/>
      <c r="E30" s="2"/>
      <c r="F30" s="2"/>
    </row>
    <row r="31" spans="1:6" s="56" customFormat="1" ht="43.5">
      <c r="A31" s="30"/>
      <c r="B31" s="30" t="s">
        <v>247</v>
      </c>
      <c r="C31" s="105">
        <v>968.3513080865397</v>
      </c>
      <c r="D31" s="30"/>
      <c r="E31" s="30"/>
      <c r="F31" s="29"/>
    </row>
  </sheetData>
  <mergeCells count="8">
    <mergeCell ref="A15:C15"/>
    <mergeCell ref="A22:F22"/>
    <mergeCell ref="A25:C25"/>
    <mergeCell ref="A27:C27"/>
    <mergeCell ref="A4:E4"/>
    <mergeCell ref="A7:C7"/>
    <mergeCell ref="A10:C10"/>
    <mergeCell ref="A12:C12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workbookViewId="0" topLeftCell="A25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21" customHeight="1">
      <c r="B1" s="59" t="s">
        <v>248</v>
      </c>
    </row>
    <row r="2" spans="1:6" ht="30.75" customHeight="1">
      <c r="A2" s="2"/>
      <c r="B2" s="1" t="s">
        <v>249</v>
      </c>
      <c r="C2" s="4"/>
      <c r="D2" s="5">
        <v>92.2</v>
      </c>
      <c r="E2" s="6" t="s">
        <v>2</v>
      </c>
      <c r="F2" s="2"/>
    </row>
    <row r="3" spans="1:6" ht="27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8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444.0851046939669</v>
      </c>
      <c r="E7" s="12">
        <f>SUM(E8:E9)</f>
        <v>0.4013784388051039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406.29927236410515</v>
      </c>
      <c r="E8" s="83">
        <v>0.367226385000095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37.78583232986178</v>
      </c>
      <c r="E9" s="83">
        <v>0.03415205380500884</v>
      </c>
      <c r="F9" s="21"/>
    </row>
    <row r="10" spans="1:6" ht="24.75" customHeight="1">
      <c r="A10" s="140" t="s">
        <v>64</v>
      </c>
      <c r="B10" s="143"/>
      <c r="C10" s="144"/>
      <c r="D10" s="23">
        <f>SUM(D11:D12)</f>
        <v>85.67563517824212</v>
      </c>
      <c r="E10" s="23">
        <f>SUM(E11:E12)</f>
        <v>0.07743640200491875</v>
      </c>
      <c r="F10" s="21"/>
    </row>
    <row r="11" spans="1:6" ht="33.75" customHeight="1">
      <c r="A11" s="15">
        <v>3</v>
      </c>
      <c r="B11" s="22" t="s">
        <v>17</v>
      </c>
      <c r="C11" s="22" t="s">
        <v>18</v>
      </c>
      <c r="D11" s="17">
        <f>E11*12*$D$2</f>
        <v>47.190229951249215</v>
      </c>
      <c r="E11" s="82">
        <v>0.0426520516551421</v>
      </c>
      <c r="F11" s="13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38.485405226992896</v>
      </c>
      <c r="E12" s="84">
        <v>0.03478435034977666</v>
      </c>
      <c r="F12" s="2"/>
    </row>
    <row r="13" spans="1:9" ht="21" customHeight="1">
      <c r="A13" s="145" t="s">
        <v>67</v>
      </c>
      <c r="B13" s="146"/>
      <c r="C13" s="146"/>
      <c r="D13" s="24">
        <f>SUM(D14:D15)</f>
        <v>304.3217756026099</v>
      </c>
      <c r="E13" s="24">
        <f>SUM(E14:E15)</f>
        <v>0.2750558347818238</v>
      </c>
      <c r="F13" s="2"/>
      <c r="H13" s="85"/>
      <c r="I13" s="65"/>
    </row>
    <row r="14" spans="1:10" ht="60">
      <c r="A14" s="15">
        <v>5</v>
      </c>
      <c r="B14" s="22" t="s">
        <v>86</v>
      </c>
      <c r="C14" s="22" t="s">
        <v>18</v>
      </c>
      <c r="D14" s="17">
        <f>E14*12*$D$2</f>
        <v>13.176963154597567</v>
      </c>
      <c r="E14" s="63">
        <v>0.011909764239513348</v>
      </c>
      <c r="F14" s="2"/>
      <c r="H14" s="85"/>
      <c r="I14" s="64"/>
      <c r="J14" s="65"/>
    </row>
    <row r="15" spans="1:10" ht="60">
      <c r="A15" s="15">
        <v>6</v>
      </c>
      <c r="B15" s="22" t="s">
        <v>22</v>
      </c>
      <c r="C15" s="22" t="s">
        <v>87</v>
      </c>
      <c r="D15" s="17">
        <f>E15*12*$D$2</f>
        <v>291.1448124480123</v>
      </c>
      <c r="E15" s="63">
        <v>0.2631460705423105</v>
      </c>
      <c r="F15" s="2"/>
      <c r="H15" s="85"/>
      <c r="I15" s="64"/>
      <c r="J15" s="65"/>
    </row>
    <row r="16" spans="1:6" ht="15">
      <c r="A16" s="145" t="s">
        <v>70</v>
      </c>
      <c r="B16" s="145"/>
      <c r="C16" s="145"/>
      <c r="D16" s="25">
        <f>SUM(D17)</f>
        <v>172.7400382237276</v>
      </c>
      <c r="E16" s="23">
        <f>SUM(E17)</f>
        <v>0.1557664842947646</v>
      </c>
      <c r="F16" s="2"/>
    </row>
    <row r="17" spans="1:9" ht="15">
      <c r="A17" s="15">
        <v>7</v>
      </c>
      <c r="B17" s="22" t="s">
        <v>25</v>
      </c>
      <c r="C17" s="22" t="s">
        <v>26</v>
      </c>
      <c r="D17" s="17">
        <f>E17*12*$D$2+0.4</f>
        <v>172.7400382237276</v>
      </c>
      <c r="E17" s="63">
        <v>0.1557664842947646</v>
      </c>
      <c r="F17" s="2"/>
      <c r="H17" s="85"/>
      <c r="I17" s="80"/>
    </row>
    <row r="18" spans="1:6" ht="15">
      <c r="A18" s="9"/>
      <c r="B18" s="27" t="s">
        <v>27</v>
      </c>
      <c r="C18" s="27"/>
      <c r="D18" s="74">
        <f>D7+D10+D13+D16</f>
        <v>1006.8225536985465</v>
      </c>
      <c r="E18" s="12">
        <f>E7+E10+E13+E16</f>
        <v>0.9096371598866111</v>
      </c>
      <c r="F18" s="6"/>
    </row>
    <row r="19" spans="1:6" ht="24" customHeight="1">
      <c r="A19" s="29"/>
      <c r="B19" s="30"/>
      <c r="C19" s="31"/>
      <c r="D19" s="32"/>
      <c r="E19" s="33"/>
      <c r="F19" s="2"/>
    </row>
    <row r="20" spans="1:6" ht="29.25">
      <c r="A20" s="29"/>
      <c r="B20" s="30" t="s">
        <v>37</v>
      </c>
      <c r="C20" s="43">
        <f>D18</f>
        <v>1006.8225536985465</v>
      </c>
      <c r="D20" s="43"/>
      <c r="E20" s="43"/>
      <c r="F20" s="42"/>
    </row>
    <row r="21" spans="1:6" ht="15">
      <c r="A21" s="29"/>
      <c r="B21" s="30" t="s">
        <v>38</v>
      </c>
      <c r="C21" s="44">
        <f>E18</f>
        <v>0.9096371598866111</v>
      </c>
      <c r="D21" s="42"/>
      <c r="E21" s="42"/>
      <c r="F21" s="42"/>
    </row>
    <row r="22" spans="1:6" ht="24" customHeight="1">
      <c r="A22" s="29"/>
      <c r="B22" s="30"/>
      <c r="C22" s="44"/>
      <c r="D22" s="42"/>
      <c r="E22" s="42"/>
      <c r="F22" s="42"/>
    </row>
    <row r="23" spans="1:6" ht="33" customHeight="1">
      <c r="A23" s="138" t="s">
        <v>39</v>
      </c>
      <c r="B23" s="138"/>
      <c r="C23" s="138"/>
      <c r="D23" s="138"/>
      <c r="E23" s="138"/>
      <c r="F23" s="138"/>
    </row>
    <row r="24" spans="1:6" ht="25.5" customHeight="1">
      <c r="A24" s="1"/>
      <c r="B24" s="1"/>
      <c r="C24" s="1"/>
      <c r="D24" s="2"/>
      <c r="E24" s="2"/>
      <c r="F24" s="2"/>
    </row>
    <row r="25" spans="1:6" ht="71.25">
      <c r="A25" s="8"/>
      <c r="B25" s="9" t="s">
        <v>4</v>
      </c>
      <c r="C25" s="9" t="s">
        <v>5</v>
      </c>
      <c r="D25" s="9" t="s">
        <v>6</v>
      </c>
      <c r="E25" s="9" t="s">
        <v>7</v>
      </c>
      <c r="F25" s="2"/>
    </row>
    <row r="26" spans="1:5" ht="27.75" customHeight="1">
      <c r="A26" s="139" t="s">
        <v>40</v>
      </c>
      <c r="B26" s="139"/>
      <c r="C26" s="139"/>
      <c r="D26" s="12">
        <f>D27</f>
        <v>11.064</v>
      </c>
      <c r="E26" s="12">
        <f>E27</f>
        <v>0.01</v>
      </c>
    </row>
    <row r="27" spans="1:5" ht="30">
      <c r="A27" s="15">
        <v>1</v>
      </c>
      <c r="B27" s="45" t="s">
        <v>41</v>
      </c>
      <c r="C27" s="45" t="s">
        <v>42</v>
      </c>
      <c r="D27" s="17">
        <f>E27*12*$D$2</f>
        <v>11.064</v>
      </c>
      <c r="E27" s="46">
        <v>0.01</v>
      </c>
    </row>
    <row r="28" spans="1:5" ht="32.25" customHeight="1">
      <c r="A28" s="139" t="s">
        <v>43</v>
      </c>
      <c r="B28" s="139"/>
      <c r="C28" s="139"/>
      <c r="D28" s="12">
        <f>D29</f>
        <v>66.384</v>
      </c>
      <c r="E28" s="12">
        <f>E29</f>
        <v>0.06</v>
      </c>
    </row>
    <row r="29" spans="1:5" ht="15">
      <c r="A29" s="15">
        <v>2</v>
      </c>
      <c r="B29" s="47" t="s">
        <v>46</v>
      </c>
      <c r="C29" s="8" t="s">
        <v>42</v>
      </c>
      <c r="D29" s="17">
        <f>E29*$D$2*12</f>
        <v>66.384</v>
      </c>
      <c r="E29" s="18">
        <v>0.06</v>
      </c>
    </row>
    <row r="30" spans="1:6" ht="15">
      <c r="A30" s="9"/>
      <c r="B30" s="27" t="s">
        <v>27</v>
      </c>
      <c r="C30" s="27"/>
      <c r="D30" s="48">
        <f>D26+D28</f>
        <v>77.44800000000001</v>
      </c>
      <c r="E30" s="12">
        <f>E26+E28</f>
        <v>0.06999999999999999</v>
      </c>
      <c r="F30" s="6"/>
    </row>
    <row r="31" spans="1:6" ht="17.25" customHeight="1">
      <c r="A31" s="2"/>
      <c r="B31" s="2"/>
      <c r="C31" s="2"/>
      <c r="D31" s="2"/>
      <c r="E31" s="2"/>
      <c r="F31" s="2"/>
    </row>
    <row r="32" spans="1:6" s="56" customFormat="1" ht="43.5">
      <c r="A32" s="30"/>
      <c r="B32" s="30" t="s">
        <v>250</v>
      </c>
      <c r="C32" s="105">
        <v>1006.8225536985465</v>
      </c>
      <c r="D32" s="30"/>
      <c r="E32" s="30"/>
      <c r="F32" s="29"/>
    </row>
  </sheetData>
  <mergeCells count="8">
    <mergeCell ref="A16:C16"/>
    <mergeCell ref="A23:F23"/>
    <mergeCell ref="A26:C26"/>
    <mergeCell ref="A28:C28"/>
    <mergeCell ref="A4:E4"/>
    <mergeCell ref="A7:C7"/>
    <mergeCell ref="A10:C10"/>
    <mergeCell ref="A13:C1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5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C1" s="93" t="s">
        <v>328</v>
      </c>
    </row>
    <row r="2" spans="1:6" ht="23.25" customHeight="1">
      <c r="A2" s="2"/>
      <c r="B2" s="1" t="s">
        <v>329</v>
      </c>
      <c r="C2" s="4"/>
      <c r="D2" s="5">
        <v>279.26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0.5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30.75" customHeight="1">
      <c r="A7" s="145" t="s">
        <v>8</v>
      </c>
      <c r="B7" s="146"/>
      <c r="C7" s="146"/>
      <c r="D7" s="12">
        <f>SUM(D8:D8)</f>
        <v>521.7272931532344</v>
      </c>
      <c r="E7" s="12">
        <f>SUM(E8:E8)</f>
        <v>0.15568743976737162</v>
      </c>
      <c r="F7" s="13"/>
      <c r="G7" s="14"/>
    </row>
    <row r="8" spans="1:7" ht="15.75" customHeight="1">
      <c r="A8" s="15">
        <v>1</v>
      </c>
      <c r="B8" s="8" t="s">
        <v>9</v>
      </c>
      <c r="C8" s="16" t="s">
        <v>10</v>
      </c>
      <c r="D8" s="17">
        <f>E8*$D$2*12</f>
        <v>521.7272931532344</v>
      </c>
      <c r="E8" s="17">
        <v>0.15568743976737162</v>
      </c>
      <c r="F8" s="2"/>
      <c r="G8" s="14"/>
    </row>
    <row r="9" spans="1:7" ht="15">
      <c r="A9" s="140" t="s">
        <v>11</v>
      </c>
      <c r="B9" s="141"/>
      <c r="C9" s="142"/>
      <c r="D9" s="12">
        <f>SUM(D10:D11)</f>
        <v>592.1134729252897</v>
      </c>
      <c r="E9" s="12">
        <f>SUM(E10:E11)</f>
        <v>0.17669121754078926</v>
      </c>
      <c r="F9" s="19"/>
      <c r="G9" s="14"/>
    </row>
    <row r="10" spans="1:7" ht="15.75" customHeight="1">
      <c r="A10" s="15">
        <v>2</v>
      </c>
      <c r="B10" s="8" t="s">
        <v>12</v>
      </c>
      <c r="C10" s="16" t="s">
        <v>13</v>
      </c>
      <c r="D10" s="17">
        <f>E10*$D$2*12</f>
        <v>541.7323631521405</v>
      </c>
      <c r="E10" s="20">
        <v>0.1616571066246928</v>
      </c>
      <c r="F10" s="21"/>
      <c r="G10" s="14"/>
    </row>
    <row r="11" spans="1:7" ht="30">
      <c r="A11" s="15">
        <v>3</v>
      </c>
      <c r="B11" s="22" t="s">
        <v>14</v>
      </c>
      <c r="C11" s="22" t="s">
        <v>15</v>
      </c>
      <c r="D11" s="17">
        <f>E11*$D$2*12</f>
        <v>50.381109773149205</v>
      </c>
      <c r="E11" s="17">
        <v>0.015034110916096471</v>
      </c>
      <c r="F11" s="21"/>
      <c r="G11" s="14"/>
    </row>
    <row r="12" spans="1:7" ht="15">
      <c r="A12" s="140" t="s">
        <v>16</v>
      </c>
      <c r="B12" s="143"/>
      <c r="C12" s="144"/>
      <c r="D12" s="23">
        <f>SUM(D13:D14)</f>
        <v>91.32270653643175</v>
      </c>
      <c r="E12" s="23">
        <f>SUM(E13:E14)</f>
        <v>0.02725139849854131</v>
      </c>
      <c r="F12" s="21"/>
      <c r="G12" s="14"/>
    </row>
    <row r="13" spans="1:7" ht="18.75" customHeight="1">
      <c r="A13" s="15">
        <v>4</v>
      </c>
      <c r="B13" s="22" t="s">
        <v>17</v>
      </c>
      <c r="C13" s="22" t="s">
        <v>18</v>
      </c>
      <c r="D13" s="17">
        <f>E13*12*$D$2</f>
        <v>51.50204633494544</v>
      </c>
      <c r="E13" s="17">
        <v>0.01536860701345981</v>
      </c>
      <c r="F13" s="13"/>
      <c r="G13" s="14"/>
    </row>
    <row r="14" spans="1:7" ht="60">
      <c r="A14" s="15">
        <v>5</v>
      </c>
      <c r="B14" s="22" t="s">
        <v>311</v>
      </c>
      <c r="C14" s="22" t="s">
        <v>18</v>
      </c>
      <c r="D14" s="17">
        <f>E14*12*$D$2</f>
        <v>39.82066020148631</v>
      </c>
      <c r="E14" s="17">
        <f>0.0168827914850815-0.005</f>
        <v>0.0118827914850815</v>
      </c>
      <c r="F14" s="2"/>
      <c r="G14" s="14"/>
    </row>
    <row r="15" spans="1:7" ht="15">
      <c r="A15" s="145" t="s">
        <v>20</v>
      </c>
      <c r="B15" s="146"/>
      <c r="C15" s="146"/>
      <c r="D15" s="24">
        <f>SUM(D16:D17)</f>
        <v>2225.3205270526582</v>
      </c>
      <c r="E15" s="24">
        <f>SUM(E16:E17)</f>
        <v>0.6640527725216221</v>
      </c>
      <c r="F15" s="2"/>
      <c r="G15" s="14"/>
    </row>
    <row r="16" spans="1:7" ht="75">
      <c r="A16" s="15">
        <v>6</v>
      </c>
      <c r="B16" s="22" t="s">
        <v>98</v>
      </c>
      <c r="C16" s="22" t="s">
        <v>18</v>
      </c>
      <c r="D16" s="17">
        <f>E16*12*$D$2</f>
        <v>126.43004532933257</v>
      </c>
      <c r="E16" s="17">
        <v>0.037727698599075106</v>
      </c>
      <c r="F16" s="2"/>
      <c r="G16" s="14"/>
    </row>
    <row r="17" spans="1:7" ht="90">
      <c r="A17" s="15">
        <v>7</v>
      </c>
      <c r="B17" s="22" t="s">
        <v>22</v>
      </c>
      <c r="C17" s="22" t="s">
        <v>79</v>
      </c>
      <c r="D17" s="17">
        <f>E17*12*$D$2</f>
        <v>2098.8904817233256</v>
      </c>
      <c r="E17" s="20">
        <v>0.626325073922547</v>
      </c>
      <c r="F17" s="2"/>
      <c r="G17" s="14"/>
    </row>
    <row r="18" spans="1:7" ht="15">
      <c r="A18" s="145" t="s">
        <v>24</v>
      </c>
      <c r="B18" s="145"/>
      <c r="C18" s="145"/>
      <c r="D18" s="25">
        <f>SUM(D19)</f>
        <v>359.61497971646594</v>
      </c>
      <c r="E18" s="25">
        <f>SUM(E19)</f>
        <v>0.107311877735344</v>
      </c>
      <c r="F18" s="2"/>
      <c r="G18" s="14"/>
    </row>
    <row r="19" spans="1:7" ht="15">
      <c r="A19" s="15">
        <v>8</v>
      </c>
      <c r="B19" s="22" t="s">
        <v>25</v>
      </c>
      <c r="C19" s="22" t="s">
        <v>26</v>
      </c>
      <c r="D19" s="17">
        <f>E19*12*$D$2</f>
        <v>359.61497971646594</v>
      </c>
      <c r="E19" s="26">
        <f>0.105951877735344+0.00136</f>
        <v>0.107311877735344</v>
      </c>
      <c r="F19" s="2"/>
      <c r="G19" s="14"/>
    </row>
    <row r="20" spans="1:7" ht="15">
      <c r="A20" s="9"/>
      <c r="B20" s="27" t="s">
        <v>27</v>
      </c>
      <c r="C20" s="27"/>
      <c r="D20" s="48">
        <f>D7+D9+D12+D15+D18</f>
        <v>3790.09897938408</v>
      </c>
      <c r="E20" s="12">
        <f>+E7+E9+E12+E15+E18</f>
        <v>1.130994706063668</v>
      </c>
      <c r="F20" s="6"/>
      <c r="G20" s="14"/>
    </row>
    <row r="21" spans="1:6" ht="15">
      <c r="A21" s="29"/>
      <c r="B21" s="30"/>
      <c r="C21" s="31"/>
      <c r="D21" s="128"/>
      <c r="E21" s="64"/>
      <c r="F21" s="2"/>
    </row>
    <row r="22" spans="1:6" ht="4.5" customHeight="1">
      <c r="A22" s="34"/>
      <c r="B22" s="34"/>
      <c r="C22" s="34"/>
      <c r="D22" s="34"/>
      <c r="E22" s="34"/>
      <c r="F22" s="35"/>
    </row>
    <row r="23" spans="1:6" ht="105">
      <c r="A23" s="11" t="s">
        <v>28</v>
      </c>
      <c r="B23" s="11" t="s">
        <v>29</v>
      </c>
      <c r="C23" s="11" t="s">
        <v>30</v>
      </c>
      <c r="D23" s="11" t="s">
        <v>31</v>
      </c>
      <c r="E23" s="11" t="s">
        <v>32</v>
      </c>
      <c r="F23" s="11" t="s">
        <v>33</v>
      </c>
    </row>
    <row r="24" spans="1:6" ht="15">
      <c r="A24" s="11">
        <v>1</v>
      </c>
      <c r="B24" s="8" t="s">
        <v>302</v>
      </c>
      <c r="C24" s="11" t="s">
        <v>51</v>
      </c>
      <c r="D24" s="11">
        <v>3351</v>
      </c>
      <c r="E24" s="37">
        <f>D24/12/$D$2</f>
        <v>0.9999641910764163</v>
      </c>
      <c r="F24" s="38">
        <v>2</v>
      </c>
    </row>
    <row r="25" spans="1:6" ht="15">
      <c r="A25" s="11">
        <v>2</v>
      </c>
      <c r="B25" s="124" t="s">
        <v>140</v>
      </c>
      <c r="C25" s="11" t="s">
        <v>330</v>
      </c>
      <c r="D25" s="104">
        <v>3954.5</v>
      </c>
      <c r="E25" s="37">
        <f>D25/12/$D$2</f>
        <v>1.1800532359330613</v>
      </c>
      <c r="F25" s="11">
        <v>2</v>
      </c>
    </row>
    <row r="26" spans="1:6" ht="15">
      <c r="A26" s="11"/>
      <c r="B26" s="39" t="s">
        <v>36</v>
      </c>
      <c r="C26" s="10"/>
      <c r="D26" s="54">
        <f>SUM(D24:D25)</f>
        <v>7305.5</v>
      </c>
      <c r="E26" s="40">
        <f>SUM(E24:E25)</f>
        <v>2.180017427009478</v>
      </c>
      <c r="F26" s="41"/>
    </row>
    <row r="27" spans="1:6" ht="12" customHeight="1">
      <c r="A27" s="29"/>
      <c r="B27" s="30"/>
      <c r="C27" s="42"/>
      <c r="D27" s="42"/>
      <c r="E27" s="42"/>
      <c r="F27" s="42"/>
    </row>
    <row r="28" spans="1:6" ht="29.25">
      <c r="A28" s="29"/>
      <c r="B28" s="30" t="s">
        <v>37</v>
      </c>
      <c r="C28" s="43">
        <f>D20+D26</f>
        <v>11095.59897938408</v>
      </c>
      <c r="D28" s="43"/>
      <c r="E28" s="43"/>
      <c r="F28" s="42"/>
    </row>
    <row r="29" spans="1:6" ht="15">
      <c r="A29" s="29"/>
      <c r="B29" s="30" t="s">
        <v>38</v>
      </c>
      <c r="C29" s="44">
        <f>E20+E26</f>
        <v>3.311012133073146</v>
      </c>
      <c r="D29" s="42"/>
      <c r="E29" s="42"/>
      <c r="F29" s="42"/>
    </row>
    <row r="30" spans="1:6" ht="3" customHeight="1">
      <c r="A30" s="29"/>
      <c r="B30" s="30"/>
      <c r="C30" s="44"/>
      <c r="D30" s="42"/>
      <c r="E30" s="42"/>
      <c r="F30" s="42"/>
    </row>
    <row r="31" spans="1:6" ht="15">
      <c r="A31" s="2"/>
      <c r="B31" s="2"/>
      <c r="C31" s="2"/>
      <c r="D31" s="2"/>
      <c r="E31" s="2"/>
      <c r="F31" s="2"/>
    </row>
    <row r="32" spans="1:6" ht="33" customHeight="1">
      <c r="A32" s="138" t="s">
        <v>39</v>
      </c>
      <c r="B32" s="138"/>
      <c r="C32" s="138"/>
      <c r="D32" s="138"/>
      <c r="E32" s="138"/>
      <c r="F32" s="138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4</v>
      </c>
      <c r="C34" s="9" t="s">
        <v>5</v>
      </c>
      <c r="D34" s="9" t="s">
        <v>6</v>
      </c>
      <c r="E34" s="9" t="s">
        <v>7</v>
      </c>
      <c r="F34" s="2"/>
    </row>
    <row r="35" spans="1:5" ht="15">
      <c r="A35" s="139" t="s">
        <v>40</v>
      </c>
      <c r="B35" s="139"/>
      <c r="C35" s="139"/>
      <c r="D35" s="12">
        <f>+D36</f>
        <v>33.511199999999995</v>
      </c>
      <c r="E35" s="12">
        <f>+E36</f>
        <v>0.01</v>
      </c>
    </row>
    <row r="36" spans="1:5" ht="30">
      <c r="A36" s="15">
        <v>1</v>
      </c>
      <c r="B36" s="45" t="s">
        <v>41</v>
      </c>
      <c r="C36" s="45" t="s">
        <v>213</v>
      </c>
      <c r="D36" s="17">
        <f>E36*12*$D$2</f>
        <v>33.511199999999995</v>
      </c>
      <c r="E36" s="46">
        <v>0.01</v>
      </c>
    </row>
    <row r="37" spans="1:5" ht="32.25" customHeight="1">
      <c r="A37" s="139" t="s">
        <v>43</v>
      </c>
      <c r="B37" s="139"/>
      <c r="C37" s="139"/>
      <c r="D37" s="12">
        <f>D38+D39</f>
        <v>268.08959999999996</v>
      </c>
      <c r="E37" s="12">
        <f>E38+E39</f>
        <v>0.08</v>
      </c>
    </row>
    <row r="38" spans="1:5" ht="49.5" customHeight="1">
      <c r="A38" s="15">
        <v>2</v>
      </c>
      <c r="B38" s="45" t="s">
        <v>44</v>
      </c>
      <c r="C38" s="45" t="s">
        <v>45</v>
      </c>
      <c r="D38" s="17">
        <f>E38*$D$2*12</f>
        <v>67.02239999999999</v>
      </c>
      <c r="E38" s="46">
        <v>0.02</v>
      </c>
    </row>
    <row r="39" spans="1:5" ht="15">
      <c r="A39" s="15">
        <v>3</v>
      </c>
      <c r="B39" s="47" t="s">
        <v>46</v>
      </c>
      <c r="C39" s="8" t="s">
        <v>42</v>
      </c>
      <c r="D39" s="17">
        <f>E39*$D$2*12</f>
        <v>201.06719999999996</v>
      </c>
      <c r="E39" s="18">
        <v>0.06</v>
      </c>
    </row>
    <row r="40" spans="1:6" ht="15">
      <c r="A40" s="9"/>
      <c r="B40" s="27" t="s">
        <v>27</v>
      </c>
      <c r="C40" s="27"/>
      <c r="D40" s="48">
        <f>D35+D37</f>
        <v>301.60079999999994</v>
      </c>
      <c r="E40" s="12">
        <f>E35+E37</f>
        <v>0.09</v>
      </c>
      <c r="F40" s="6"/>
    </row>
    <row r="41" spans="1:6" ht="15">
      <c r="A41" s="2"/>
      <c r="B41" s="2"/>
      <c r="C41" s="2"/>
      <c r="D41" s="2"/>
      <c r="E41" s="2"/>
      <c r="F41" s="2"/>
    </row>
    <row r="43" spans="1:6" ht="105">
      <c r="A43" s="11" t="s">
        <v>28</v>
      </c>
      <c r="B43" s="11" t="s">
        <v>29</v>
      </c>
      <c r="C43" s="11" t="s">
        <v>30</v>
      </c>
      <c r="D43" s="11" t="s">
        <v>31</v>
      </c>
      <c r="E43" s="11" t="s">
        <v>32</v>
      </c>
      <c r="F43" s="11" t="s">
        <v>33</v>
      </c>
    </row>
    <row r="44" spans="1:6" ht="15">
      <c r="A44" s="11">
        <v>1</v>
      </c>
      <c r="B44" s="8" t="s">
        <v>123</v>
      </c>
      <c r="C44" s="11" t="s">
        <v>124</v>
      </c>
      <c r="D44" s="11">
        <v>1560</v>
      </c>
      <c r="E44" s="37">
        <f>D44/12/$D$2</f>
        <v>0.46551600658884196</v>
      </c>
      <c r="F44" s="38">
        <v>2</v>
      </c>
    </row>
    <row r="45" spans="1:6" ht="15">
      <c r="A45" s="11"/>
      <c r="B45" s="39" t="s">
        <v>36</v>
      </c>
      <c r="C45" s="10"/>
      <c r="D45" s="54">
        <f>SUM(D44:D44)</f>
        <v>1560</v>
      </c>
      <c r="E45" s="40">
        <f>SUM(E44:E44)</f>
        <v>0.46551600658884196</v>
      </c>
      <c r="F45" s="41"/>
    </row>
    <row r="48" spans="2:3" ht="29.25">
      <c r="B48" s="30" t="s">
        <v>331</v>
      </c>
      <c r="C48" s="43">
        <v>11096</v>
      </c>
    </row>
  </sheetData>
  <sheetProtection/>
  <mergeCells count="9">
    <mergeCell ref="A37:C37"/>
    <mergeCell ref="A9:C9"/>
    <mergeCell ref="A12:C12"/>
    <mergeCell ref="A15:C15"/>
    <mergeCell ref="A18:C18"/>
    <mergeCell ref="A4:E4"/>
    <mergeCell ref="A7:C7"/>
    <mergeCell ref="A32:F32"/>
    <mergeCell ref="A35:C35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workbookViewId="0" topLeftCell="A25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27" customHeight="1">
      <c r="B1" s="59" t="s">
        <v>251</v>
      </c>
    </row>
    <row r="2" spans="1:6" ht="18" customHeight="1">
      <c r="A2" s="2"/>
      <c r="B2" s="1" t="s">
        <v>252</v>
      </c>
      <c r="C2" s="4"/>
      <c r="D2" s="5">
        <v>94.9</v>
      </c>
      <c r="E2" s="6" t="s">
        <v>2</v>
      </c>
      <c r="F2" s="2"/>
    </row>
    <row r="3" spans="1:6" ht="19.5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6.5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1184.2269458505784</v>
      </c>
      <c r="E7" s="12">
        <f>SUM(E8:E9)</f>
        <v>1.0398901877858961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1083.4647263042805</v>
      </c>
      <c r="E8" s="83">
        <v>0.9514091379559891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100.76221954629807</v>
      </c>
      <c r="E9" s="83">
        <v>0.08848104982990698</v>
      </c>
      <c r="F9" s="21"/>
    </row>
    <row r="10" spans="1:6" ht="14.25" customHeight="1">
      <c r="A10" s="140" t="s">
        <v>64</v>
      </c>
      <c r="B10" s="143"/>
      <c r="C10" s="144"/>
      <c r="D10" s="23">
        <f>SUM(D11:D12)</f>
        <v>85.67563517824212</v>
      </c>
      <c r="E10" s="23">
        <f>SUM(E11:E12)</f>
        <v>0.07523325884987891</v>
      </c>
      <c r="F10" s="21"/>
    </row>
    <row r="11" spans="1:6" ht="29.25" customHeight="1">
      <c r="A11" s="15">
        <v>3</v>
      </c>
      <c r="B11" s="22" t="s">
        <v>17</v>
      </c>
      <c r="C11" s="22" t="s">
        <v>18</v>
      </c>
      <c r="D11" s="17">
        <f>E11*12*$D$2</f>
        <v>47.19022995124922</v>
      </c>
      <c r="E11" s="82">
        <v>0.041438558088557446</v>
      </c>
      <c r="F11" s="13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38.485405226992896</v>
      </c>
      <c r="E12" s="84">
        <v>0.033794700761321475</v>
      </c>
      <c r="F12" s="2"/>
    </row>
    <row r="13" spans="1:9" ht="15">
      <c r="A13" s="145" t="s">
        <v>67</v>
      </c>
      <c r="B13" s="146"/>
      <c r="C13" s="146"/>
      <c r="D13" s="24">
        <f>SUM(D14:D15)</f>
        <v>308.33209940695394</v>
      </c>
      <c r="E13" s="24">
        <f>SUM(E14:E15)</f>
        <v>0.27075175571386895</v>
      </c>
      <c r="F13" s="2"/>
      <c r="H13" s="85"/>
      <c r="I13" s="65"/>
    </row>
    <row r="14" spans="1:10" ht="60">
      <c r="A14" s="15">
        <v>5</v>
      </c>
      <c r="B14" s="22" t="s">
        <v>86</v>
      </c>
      <c r="C14" s="22" t="s">
        <v>18</v>
      </c>
      <c r="D14" s="17">
        <f>E14*12*$D$2</f>
        <v>13.17696315459757</v>
      </c>
      <c r="E14" s="63">
        <v>0.01157091952458515</v>
      </c>
      <c r="F14" s="2"/>
      <c r="H14" s="85"/>
      <c r="I14" s="64"/>
      <c r="J14" s="65"/>
    </row>
    <row r="15" spans="1:10" ht="60">
      <c r="A15" s="15">
        <v>6</v>
      </c>
      <c r="B15" s="22" t="s">
        <v>22</v>
      </c>
      <c r="C15" s="22" t="s">
        <v>87</v>
      </c>
      <c r="D15" s="17">
        <f>E15*12*$D$2</f>
        <v>295.1551362523564</v>
      </c>
      <c r="E15" s="63">
        <v>0.2591808361892838</v>
      </c>
      <c r="F15" s="2"/>
      <c r="H15" s="85"/>
      <c r="I15" s="64"/>
      <c r="J15" s="65"/>
    </row>
    <row r="16" spans="1:6" ht="15">
      <c r="A16" s="145" t="s">
        <v>70</v>
      </c>
      <c r="B16" s="145"/>
      <c r="C16" s="145"/>
      <c r="D16" s="25">
        <f>SUM(D17)</f>
        <v>184.50967719742997</v>
      </c>
      <c r="E16" s="23">
        <f>SUM(E17)</f>
        <v>0.1614942722141113</v>
      </c>
      <c r="F16" s="2"/>
    </row>
    <row r="17" spans="1:9" ht="15">
      <c r="A17" s="15">
        <v>7</v>
      </c>
      <c r="B17" s="22" t="s">
        <v>25</v>
      </c>
      <c r="C17" s="22" t="s">
        <v>26</v>
      </c>
      <c r="D17" s="17">
        <f>E17*12*$D$2+0.6</f>
        <v>184.50967719742997</v>
      </c>
      <c r="E17" s="63">
        <v>0.1614942722141113</v>
      </c>
      <c r="F17" s="2"/>
      <c r="H17" s="85"/>
      <c r="I17" s="80"/>
    </row>
    <row r="18" spans="1:6" ht="15">
      <c r="A18" s="9"/>
      <c r="B18" s="27" t="s">
        <v>27</v>
      </c>
      <c r="C18" s="27"/>
      <c r="D18" s="74">
        <f>D7+D10+D13+D16</f>
        <v>1762.7443576332043</v>
      </c>
      <c r="E18" s="12">
        <f>E7+E10+E13+E16</f>
        <v>1.5473694745637554</v>
      </c>
      <c r="F18" s="6"/>
    </row>
    <row r="19" spans="1:6" ht="24" customHeight="1">
      <c r="A19" s="29"/>
      <c r="B19" s="30"/>
      <c r="C19" s="31"/>
      <c r="D19" s="32"/>
      <c r="E19" s="33"/>
      <c r="F19" s="2"/>
    </row>
    <row r="20" spans="1:6" ht="29.25">
      <c r="A20" s="29"/>
      <c r="B20" s="30" t="s">
        <v>37</v>
      </c>
      <c r="C20" s="43">
        <f>D18</f>
        <v>1762.7443576332043</v>
      </c>
      <c r="D20" s="43"/>
      <c r="E20" s="43"/>
      <c r="F20" s="42"/>
    </row>
    <row r="21" spans="1:6" ht="15">
      <c r="A21" s="29"/>
      <c r="B21" s="30" t="s">
        <v>38</v>
      </c>
      <c r="C21" s="44">
        <f>E18</f>
        <v>1.5473694745637554</v>
      </c>
      <c r="D21" s="42"/>
      <c r="E21" s="42"/>
      <c r="F21" s="42"/>
    </row>
    <row r="22" spans="1:6" ht="18" customHeight="1">
      <c r="A22" s="29"/>
      <c r="B22" s="30"/>
      <c r="C22" s="44"/>
      <c r="D22" s="42"/>
      <c r="E22" s="42"/>
      <c r="F22" s="42"/>
    </row>
    <row r="23" spans="1:6" ht="33" customHeight="1">
      <c r="A23" s="138" t="s">
        <v>39</v>
      </c>
      <c r="B23" s="138"/>
      <c r="C23" s="138"/>
      <c r="D23" s="138"/>
      <c r="E23" s="138"/>
      <c r="F23" s="138"/>
    </row>
    <row r="24" spans="1:6" ht="27" customHeight="1">
      <c r="A24" s="1"/>
      <c r="B24" s="1"/>
      <c r="C24" s="1"/>
      <c r="D24" s="2"/>
      <c r="E24" s="2"/>
      <c r="F24" s="2"/>
    </row>
    <row r="25" spans="1:6" ht="71.25">
      <c r="A25" s="8"/>
      <c r="B25" s="9" t="s">
        <v>4</v>
      </c>
      <c r="C25" s="9" t="s">
        <v>5</v>
      </c>
      <c r="D25" s="9" t="s">
        <v>6</v>
      </c>
      <c r="E25" s="9" t="s">
        <v>7</v>
      </c>
      <c r="F25" s="2"/>
    </row>
    <row r="26" spans="1:5" ht="30" customHeight="1">
      <c r="A26" s="139" t="s">
        <v>40</v>
      </c>
      <c r="B26" s="139"/>
      <c r="C26" s="139"/>
      <c r="D26" s="12">
        <f>D27</f>
        <v>11.388</v>
      </c>
      <c r="E26" s="12">
        <f>E27</f>
        <v>0.01</v>
      </c>
    </row>
    <row r="27" spans="1:5" ht="30">
      <c r="A27" s="15">
        <v>1</v>
      </c>
      <c r="B27" s="45" t="s">
        <v>41</v>
      </c>
      <c r="C27" s="45" t="s">
        <v>42</v>
      </c>
      <c r="D27" s="17">
        <f>E27*12*$D$2</f>
        <v>11.388</v>
      </c>
      <c r="E27" s="46">
        <v>0.01</v>
      </c>
    </row>
    <row r="28" spans="1:5" ht="32.25" customHeight="1">
      <c r="A28" s="139" t="s">
        <v>43</v>
      </c>
      <c r="B28" s="139"/>
      <c r="C28" s="139"/>
      <c r="D28" s="12">
        <f>D29</f>
        <v>68.328</v>
      </c>
      <c r="E28" s="12">
        <f>E29</f>
        <v>0.06</v>
      </c>
    </row>
    <row r="29" spans="1:5" ht="15">
      <c r="A29" s="15">
        <v>2</v>
      </c>
      <c r="B29" s="47" t="s">
        <v>46</v>
      </c>
      <c r="C29" s="8" t="s">
        <v>42</v>
      </c>
      <c r="D29" s="17">
        <f>E29*$D$2*12</f>
        <v>68.328</v>
      </c>
      <c r="E29" s="18">
        <v>0.06</v>
      </c>
    </row>
    <row r="30" spans="1:6" ht="15">
      <c r="A30" s="9"/>
      <c r="B30" s="27" t="s">
        <v>27</v>
      </c>
      <c r="C30" s="27"/>
      <c r="D30" s="48">
        <f>D26+D28</f>
        <v>79.71600000000001</v>
      </c>
      <c r="E30" s="12">
        <f>E26+E28</f>
        <v>0.06999999999999999</v>
      </c>
      <c r="F30" s="6"/>
    </row>
    <row r="31" spans="1:6" ht="8.25" customHeight="1">
      <c r="A31" s="2"/>
      <c r="B31" s="2"/>
      <c r="C31" s="2"/>
      <c r="D31" s="2"/>
      <c r="E31" s="2"/>
      <c r="F31" s="2"/>
    </row>
    <row r="32" spans="1:6" s="56" customFormat="1" ht="43.5">
      <c r="A32" s="30"/>
      <c r="B32" s="30" t="s">
        <v>253</v>
      </c>
      <c r="C32" s="105">
        <v>1762.7443576332043</v>
      </c>
      <c r="D32" s="30"/>
      <c r="E32" s="30"/>
      <c r="F32" s="29"/>
    </row>
  </sheetData>
  <mergeCells count="8">
    <mergeCell ref="A16:C16"/>
    <mergeCell ref="A23:F23"/>
    <mergeCell ref="A26:C26"/>
    <mergeCell ref="A28:C28"/>
    <mergeCell ref="A4:E4"/>
    <mergeCell ref="A7:C7"/>
    <mergeCell ref="A10:C10"/>
    <mergeCell ref="A13:C1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workbookViewId="0" topLeftCell="A31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0.12890625" style="3" customWidth="1"/>
    <col min="7" max="16384" width="9.125" style="3" customWidth="1"/>
  </cols>
  <sheetData>
    <row r="1" ht="15">
      <c r="B1" s="59" t="s">
        <v>254</v>
      </c>
    </row>
    <row r="2" spans="1:6" ht="39" customHeight="1">
      <c r="A2" s="2"/>
      <c r="B2" s="1" t="s">
        <v>255</v>
      </c>
      <c r="C2" s="4"/>
      <c r="D2" s="5">
        <v>86.5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740.1418411566117</v>
      </c>
      <c r="E7" s="12">
        <f>SUM(E8:E9)</f>
        <v>0.7130460897462539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677.1654539401753</v>
      </c>
      <c r="E8" s="60">
        <v>0.6523751964741573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62.97638721643631</v>
      </c>
      <c r="E9" s="60">
        <v>0.06067089327209663</v>
      </c>
      <c r="F9" s="21"/>
    </row>
    <row r="10" spans="1:6" ht="30" customHeight="1">
      <c r="A10" s="140" t="s">
        <v>64</v>
      </c>
      <c r="B10" s="143"/>
      <c r="C10" s="144"/>
      <c r="D10" s="23">
        <f>SUM(D11:D13)</f>
        <v>1299.1035332720837</v>
      </c>
      <c r="E10" s="23">
        <f>SUM(E11:E13)</f>
        <v>1.2515448297418919</v>
      </c>
      <c r="F10" s="21"/>
    </row>
    <row r="11" spans="1:6" ht="30" customHeight="1">
      <c r="A11" s="15">
        <v>3</v>
      </c>
      <c r="B11" s="22" t="s">
        <v>17</v>
      </c>
      <c r="C11" s="22" t="s">
        <v>18</v>
      </c>
      <c r="D11" s="17">
        <f>E11*12*$D$2</f>
        <v>47.19022995124922</v>
      </c>
      <c r="E11" s="60">
        <v>0.04546264927866014</v>
      </c>
      <c r="F11" s="13"/>
    </row>
    <row r="12" spans="1:6" ht="30">
      <c r="A12" s="15">
        <v>4</v>
      </c>
      <c r="B12" s="22" t="s">
        <v>105</v>
      </c>
      <c r="C12" s="22" t="s">
        <v>18</v>
      </c>
      <c r="D12" s="17">
        <f>E12*12*$D$2</f>
        <v>128.30330885357856</v>
      </c>
      <c r="E12" s="60">
        <v>0.12360627057184834</v>
      </c>
      <c r="F12" s="103"/>
    </row>
    <row r="13" spans="1:6" ht="90">
      <c r="A13" s="15">
        <v>5</v>
      </c>
      <c r="B13" s="22" t="s">
        <v>106</v>
      </c>
      <c r="C13" s="22" t="s">
        <v>18</v>
      </c>
      <c r="D13" s="17">
        <f>E13*12*$D$2</f>
        <v>1123.609994467256</v>
      </c>
      <c r="E13" s="60">
        <v>1.0824759098913834</v>
      </c>
      <c r="F13" s="2"/>
    </row>
    <row r="14" spans="1:9" ht="15">
      <c r="A14" s="145" t="s">
        <v>67</v>
      </c>
      <c r="B14" s="146"/>
      <c r="C14" s="146"/>
      <c r="D14" s="24">
        <f>SUM(D15:D16)</f>
        <v>1832.1144900448944</v>
      </c>
      <c r="E14" s="24">
        <f>SUM(E15:E16)</f>
        <v>1.765042861314927</v>
      </c>
      <c r="F14" s="2"/>
      <c r="H14" s="85"/>
      <c r="I14" s="65"/>
    </row>
    <row r="15" spans="1:10" ht="60">
      <c r="A15" s="15">
        <v>6</v>
      </c>
      <c r="B15" s="22" t="s">
        <v>86</v>
      </c>
      <c r="C15" s="22" t="s">
        <v>18</v>
      </c>
      <c r="D15" s="17">
        <f>E15*12*$D$2</f>
        <v>135.97409347651788</v>
      </c>
      <c r="E15" s="83">
        <v>0.1309962364899016</v>
      </c>
      <c r="F15" s="2"/>
      <c r="H15" s="85"/>
      <c r="I15" s="64"/>
      <c r="J15" s="65"/>
    </row>
    <row r="16" spans="1:10" ht="75">
      <c r="A16" s="15">
        <v>7</v>
      </c>
      <c r="B16" s="22" t="s">
        <v>22</v>
      </c>
      <c r="C16" s="22" t="s">
        <v>23</v>
      </c>
      <c r="D16" s="17">
        <f>E16*12*$D$2</f>
        <v>1696.1403965683764</v>
      </c>
      <c r="E16" s="83">
        <v>1.6340466248250254</v>
      </c>
      <c r="F16" s="2"/>
      <c r="H16" s="85"/>
      <c r="I16" s="64"/>
      <c r="J16" s="65"/>
    </row>
    <row r="17" spans="1:6" ht="15">
      <c r="A17" s="145" t="s">
        <v>70</v>
      </c>
      <c r="B17" s="145"/>
      <c r="C17" s="145"/>
      <c r="D17" s="25">
        <f>SUM(D18)</f>
        <v>204.8081941773194</v>
      </c>
      <c r="E17" s="23">
        <f>SUM(E18)</f>
        <v>0.1968287034463578</v>
      </c>
      <c r="F17" s="2"/>
    </row>
    <row r="18" spans="1:9" ht="15">
      <c r="A18" s="15">
        <v>8</v>
      </c>
      <c r="B18" s="22" t="s">
        <v>25</v>
      </c>
      <c r="C18" s="22" t="s">
        <v>26</v>
      </c>
      <c r="D18" s="17">
        <f>E18*12*$D$2+0.5</f>
        <v>204.8081941773194</v>
      </c>
      <c r="E18" s="83">
        <v>0.1968287034463578</v>
      </c>
      <c r="F18" s="2"/>
      <c r="H18" s="85"/>
      <c r="I18" s="80"/>
    </row>
    <row r="19" spans="1:6" ht="15">
      <c r="A19" s="9"/>
      <c r="B19" s="27" t="s">
        <v>27</v>
      </c>
      <c r="C19" s="27"/>
      <c r="D19" s="74">
        <f>D7+D10+D14+D17</f>
        <v>4076.168058650909</v>
      </c>
      <c r="E19" s="12">
        <f>E7+E10+E14+E17</f>
        <v>3.9264624842494302</v>
      </c>
      <c r="F19" s="6"/>
    </row>
    <row r="20" spans="1:6" ht="15">
      <c r="A20" s="29"/>
      <c r="B20" s="30"/>
      <c r="C20" s="31"/>
      <c r="D20" s="32"/>
      <c r="E20" s="33"/>
      <c r="F20" s="2"/>
    </row>
    <row r="21" spans="1:6" ht="15">
      <c r="A21" s="29"/>
      <c r="B21" s="30"/>
      <c r="C21" s="42"/>
      <c r="D21" s="42"/>
      <c r="E21" s="42"/>
      <c r="F21" s="42"/>
    </row>
    <row r="22" spans="1:6" ht="29.25">
      <c r="A22" s="29"/>
      <c r="B22" s="30" t="s">
        <v>37</v>
      </c>
      <c r="C22" s="43">
        <f>D19</f>
        <v>4076.168058650909</v>
      </c>
      <c r="D22" s="43"/>
      <c r="E22" s="43"/>
      <c r="F22" s="42"/>
    </row>
    <row r="23" spans="1:6" ht="15">
      <c r="A23" s="29"/>
      <c r="B23" s="30" t="s">
        <v>38</v>
      </c>
      <c r="C23" s="44">
        <f>E19</f>
        <v>3.9264624842494302</v>
      </c>
      <c r="D23" s="42"/>
      <c r="E23" s="42"/>
      <c r="F23" s="42"/>
    </row>
    <row r="24" spans="1:6" ht="15">
      <c r="A24" s="29"/>
      <c r="B24" s="30"/>
      <c r="C24" s="44"/>
      <c r="D24" s="42"/>
      <c r="E24" s="42"/>
      <c r="F24" s="42"/>
    </row>
    <row r="25" spans="1:6" ht="78" customHeight="1">
      <c r="A25" s="2"/>
      <c r="B25" s="2"/>
      <c r="C25" s="2"/>
      <c r="D25" s="2"/>
      <c r="E25" s="2"/>
      <c r="F25" s="2"/>
    </row>
    <row r="26" spans="1:6" ht="33" customHeight="1">
      <c r="A26" s="138" t="s">
        <v>39</v>
      </c>
      <c r="B26" s="138"/>
      <c r="C26" s="138"/>
      <c r="D26" s="138"/>
      <c r="E26" s="138"/>
      <c r="F26" s="138"/>
    </row>
    <row r="27" spans="1:6" ht="15">
      <c r="A27" s="1"/>
      <c r="B27" s="1"/>
      <c r="C27" s="1"/>
      <c r="D27" s="2"/>
      <c r="E27" s="2"/>
      <c r="F27" s="2"/>
    </row>
    <row r="28" spans="1:6" ht="71.25">
      <c r="A28" s="8"/>
      <c r="B28" s="9" t="s">
        <v>4</v>
      </c>
      <c r="C28" s="9" t="s">
        <v>5</v>
      </c>
      <c r="D28" s="9" t="s">
        <v>6</v>
      </c>
      <c r="E28" s="9" t="s">
        <v>7</v>
      </c>
      <c r="F28" s="2"/>
    </row>
    <row r="29" spans="1:5" ht="29.25" customHeight="1">
      <c r="A29" s="139" t="s">
        <v>40</v>
      </c>
      <c r="B29" s="139"/>
      <c r="C29" s="139"/>
      <c r="D29" s="12">
        <f>D30</f>
        <v>10.379999999999999</v>
      </c>
      <c r="E29" s="12">
        <f>E30</f>
        <v>0.01</v>
      </c>
    </row>
    <row r="30" spans="1:5" ht="30">
      <c r="A30" s="15">
        <v>1</v>
      </c>
      <c r="B30" s="45" t="s">
        <v>41</v>
      </c>
      <c r="C30" s="45" t="s">
        <v>42</v>
      </c>
      <c r="D30" s="17">
        <f>E30*12*$D$2</f>
        <v>10.379999999999999</v>
      </c>
      <c r="E30" s="46">
        <v>0.01</v>
      </c>
    </row>
    <row r="31" spans="1:5" ht="32.25" customHeight="1">
      <c r="A31" s="139" t="s">
        <v>43</v>
      </c>
      <c r="B31" s="139"/>
      <c r="C31" s="139"/>
      <c r="D31" s="12">
        <f>D32</f>
        <v>62.279999999999994</v>
      </c>
      <c r="E31" s="12">
        <f>E32</f>
        <v>0.06</v>
      </c>
    </row>
    <row r="32" spans="1:5" ht="15">
      <c r="A32" s="15">
        <v>2</v>
      </c>
      <c r="B32" s="47" t="s">
        <v>46</v>
      </c>
      <c r="C32" s="8" t="s">
        <v>42</v>
      </c>
      <c r="D32" s="17">
        <f>E32*$D$2*12</f>
        <v>62.279999999999994</v>
      </c>
      <c r="E32" s="18">
        <v>0.06</v>
      </c>
    </row>
    <row r="33" spans="1:6" ht="15">
      <c r="A33" s="9"/>
      <c r="B33" s="27" t="s">
        <v>27</v>
      </c>
      <c r="C33" s="27"/>
      <c r="D33" s="48">
        <f>D29+D31</f>
        <v>72.66</v>
      </c>
      <c r="E33" s="12">
        <f>E29+E31</f>
        <v>0.06999999999999999</v>
      </c>
      <c r="F33" s="6"/>
    </row>
    <row r="34" spans="1:6" ht="15">
      <c r="A34" s="2"/>
      <c r="B34" s="2"/>
      <c r="C34" s="2"/>
      <c r="D34" s="2"/>
      <c r="E34" s="2"/>
      <c r="F34" s="2"/>
    </row>
    <row r="35" spans="1:6" s="56" customFormat="1" ht="43.5">
      <c r="A35" s="30"/>
      <c r="B35" s="30" t="s">
        <v>256</v>
      </c>
      <c r="C35" s="105">
        <v>4076.168058650909</v>
      </c>
      <c r="D35" s="30"/>
      <c r="E35" s="30"/>
      <c r="F35" s="29"/>
    </row>
  </sheetData>
  <mergeCells count="8">
    <mergeCell ref="A17:C17"/>
    <mergeCell ref="A26:F26"/>
    <mergeCell ref="A29:C29"/>
    <mergeCell ref="A31:C31"/>
    <mergeCell ref="A4:E4"/>
    <mergeCell ref="A7:C7"/>
    <mergeCell ref="A10:C10"/>
    <mergeCell ref="A14:C14"/>
  </mergeCells>
  <printOptions horizontalCentered="1"/>
  <pageMargins left="0.3937007874015748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28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257</v>
      </c>
    </row>
    <row r="2" spans="1:6" ht="39" customHeight="1">
      <c r="A2" s="2"/>
      <c r="B2" s="1" t="s">
        <v>258</v>
      </c>
      <c r="C2" s="4"/>
      <c r="D2" s="5">
        <v>92.8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888.1702093879338</v>
      </c>
      <c r="E7" s="12">
        <f>SUM(E8:E9)</f>
        <v>0.7975666391773832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812.5985447282103</v>
      </c>
      <c r="E8" s="60">
        <v>0.7297041529527751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75.57166465972355</v>
      </c>
      <c r="E9" s="60">
        <v>0.06786248622460808</v>
      </c>
      <c r="F9" s="21"/>
    </row>
    <row r="10" spans="1:6" ht="30" customHeight="1">
      <c r="A10" s="140" t="s">
        <v>64</v>
      </c>
      <c r="B10" s="143"/>
      <c r="C10" s="144"/>
      <c r="D10" s="23">
        <f>SUM(D11:D13)</f>
        <v>1353.8486448088286</v>
      </c>
      <c r="E10" s="23">
        <f>SUM(E11:E13)</f>
        <v>1.2157405215596522</v>
      </c>
      <c r="F10" s="21"/>
    </row>
    <row r="11" spans="1:6" ht="33" customHeight="1">
      <c r="A11" s="15">
        <v>3</v>
      </c>
      <c r="B11" s="22" t="s">
        <v>17</v>
      </c>
      <c r="C11" s="22" t="s">
        <v>18</v>
      </c>
      <c r="D11" s="17">
        <f>E11*12*$D$2</f>
        <v>47.19022995124923</v>
      </c>
      <c r="E11" s="60">
        <v>0.04237628407978559</v>
      </c>
      <c r="F11" s="13"/>
    </row>
    <row r="12" spans="1:6" ht="30">
      <c r="A12" s="15">
        <v>4</v>
      </c>
      <c r="B12" s="22" t="s">
        <v>105</v>
      </c>
      <c r="C12" s="22" t="s">
        <v>18</v>
      </c>
      <c r="D12" s="17">
        <f>E12*12*$D$2</f>
        <v>128.30330885357859</v>
      </c>
      <c r="E12" s="60">
        <v>0.1152148965998371</v>
      </c>
      <c r="F12" s="103"/>
    </row>
    <row r="13" spans="1:6" ht="90">
      <c r="A13" s="15">
        <v>5</v>
      </c>
      <c r="B13" s="22" t="s">
        <v>106</v>
      </c>
      <c r="C13" s="22" t="s">
        <v>18</v>
      </c>
      <c r="D13" s="17">
        <f>E13*12*$D$2</f>
        <v>1178.3551060040008</v>
      </c>
      <c r="E13" s="60">
        <v>1.0581493408800295</v>
      </c>
      <c r="F13" s="2"/>
    </row>
    <row r="14" spans="1:9" ht="15">
      <c r="A14" s="145" t="s">
        <v>67</v>
      </c>
      <c r="B14" s="146"/>
      <c r="C14" s="146"/>
      <c r="D14" s="24">
        <f>SUM(D15:D16)</f>
        <v>1871.846795243553</v>
      </c>
      <c r="E14" s="24">
        <f>SUM(E15:E16)</f>
        <v>1.6808969066483057</v>
      </c>
      <c r="F14" s="2"/>
      <c r="H14" s="85"/>
      <c r="I14" s="65"/>
    </row>
    <row r="15" spans="1:10" ht="60">
      <c r="A15" s="15">
        <v>6</v>
      </c>
      <c r="B15" s="22" t="s">
        <v>86</v>
      </c>
      <c r="C15" s="22" t="s">
        <v>18</v>
      </c>
      <c r="D15" s="17">
        <f>E15*12*$D$2</f>
        <v>138.0070684407471</v>
      </c>
      <c r="E15" s="83">
        <v>0.1239287611716479</v>
      </c>
      <c r="F15" s="2"/>
      <c r="H15" s="85"/>
      <c r="I15" s="64"/>
      <c r="J15" s="65"/>
    </row>
    <row r="16" spans="1:10" ht="75">
      <c r="A16" s="15">
        <v>7</v>
      </c>
      <c r="B16" s="22" t="s">
        <v>22</v>
      </c>
      <c r="C16" s="22" t="s">
        <v>23</v>
      </c>
      <c r="D16" s="17">
        <f>E16*12*$D$2</f>
        <v>1733.839726802806</v>
      </c>
      <c r="E16" s="83">
        <v>1.5569681454766577</v>
      </c>
      <c r="F16" s="2"/>
      <c r="H16" s="85"/>
      <c r="I16" s="64"/>
      <c r="J16" s="65"/>
    </row>
    <row r="17" spans="1:6" ht="15">
      <c r="A17" s="145" t="s">
        <v>70</v>
      </c>
      <c r="B17" s="145"/>
      <c r="C17" s="145"/>
      <c r="D17" s="25">
        <f>SUM(D18)</f>
        <v>208.27449556914274</v>
      </c>
      <c r="E17" s="23">
        <f>SUM(E18)</f>
        <v>0.187028103061371</v>
      </c>
      <c r="F17" s="2"/>
    </row>
    <row r="18" spans="1:9" ht="15">
      <c r="A18" s="15">
        <v>8</v>
      </c>
      <c r="B18" s="22" t="s">
        <v>25</v>
      </c>
      <c r="C18" s="22" t="s">
        <v>26</v>
      </c>
      <c r="D18" s="17">
        <f>E18*12*$D$2</f>
        <v>208.27449556914274</v>
      </c>
      <c r="E18" s="83">
        <f>0.186428103061371+0.0006</f>
        <v>0.187028103061371</v>
      </c>
      <c r="F18" s="2"/>
      <c r="H18" s="85"/>
      <c r="I18" s="80"/>
    </row>
    <row r="19" spans="1:6" ht="15">
      <c r="A19" s="9"/>
      <c r="B19" s="27" t="s">
        <v>27</v>
      </c>
      <c r="C19" s="27"/>
      <c r="D19" s="74">
        <f>D7+D10+D14+D17</f>
        <v>4322.140145009457</v>
      </c>
      <c r="E19" s="12">
        <f>E7+E10+E14+E17</f>
        <v>3.881232170446712</v>
      </c>
      <c r="F19" s="6"/>
    </row>
    <row r="20" spans="1:6" ht="15">
      <c r="A20" s="29"/>
      <c r="B20" s="30"/>
      <c r="C20" s="31"/>
      <c r="D20" s="32"/>
      <c r="E20" s="33"/>
      <c r="F20" s="2"/>
    </row>
    <row r="21" spans="1:6" ht="15">
      <c r="A21" s="29"/>
      <c r="B21" s="30"/>
      <c r="C21" s="42"/>
      <c r="D21" s="42"/>
      <c r="E21" s="42"/>
      <c r="F21" s="42"/>
    </row>
    <row r="22" spans="1:6" ht="29.25">
      <c r="A22" s="29"/>
      <c r="B22" s="30" t="s">
        <v>37</v>
      </c>
      <c r="C22" s="43">
        <f>D19</f>
        <v>4322.140145009457</v>
      </c>
      <c r="D22" s="43"/>
      <c r="E22" s="43"/>
      <c r="F22" s="42"/>
    </row>
    <row r="23" spans="1:6" ht="15">
      <c r="A23" s="29"/>
      <c r="B23" s="30" t="s">
        <v>38</v>
      </c>
      <c r="C23" s="44">
        <f>E19</f>
        <v>3.881232170446712</v>
      </c>
      <c r="D23" s="42"/>
      <c r="E23" s="42"/>
      <c r="F23" s="42"/>
    </row>
    <row r="24" spans="1:6" ht="15">
      <c r="A24" s="29"/>
      <c r="B24" s="30"/>
      <c r="C24" s="44"/>
      <c r="D24" s="42"/>
      <c r="E24" s="42"/>
      <c r="F24" s="42"/>
    </row>
    <row r="25" spans="1:6" ht="71.25" customHeight="1">
      <c r="A25" s="2"/>
      <c r="B25" s="2"/>
      <c r="C25" s="2"/>
      <c r="D25" s="2"/>
      <c r="E25" s="2"/>
      <c r="F25" s="2"/>
    </row>
    <row r="26" spans="1:6" ht="33" customHeight="1">
      <c r="A26" s="138" t="s">
        <v>39</v>
      </c>
      <c r="B26" s="138"/>
      <c r="C26" s="138"/>
      <c r="D26" s="138"/>
      <c r="E26" s="138"/>
      <c r="F26" s="138"/>
    </row>
    <row r="27" spans="1:6" ht="15">
      <c r="A27" s="1"/>
      <c r="B27" s="1"/>
      <c r="C27" s="1"/>
      <c r="D27" s="2"/>
      <c r="E27" s="2"/>
      <c r="F27" s="2"/>
    </row>
    <row r="28" spans="1:6" ht="71.25">
      <c r="A28" s="8"/>
      <c r="B28" s="9" t="s">
        <v>4</v>
      </c>
      <c r="C28" s="9" t="s">
        <v>5</v>
      </c>
      <c r="D28" s="9" t="s">
        <v>6</v>
      </c>
      <c r="E28" s="9" t="s">
        <v>7</v>
      </c>
      <c r="F28" s="2"/>
    </row>
    <row r="29" spans="1:5" ht="33" customHeight="1">
      <c r="A29" s="139" t="s">
        <v>40</v>
      </c>
      <c r="B29" s="139"/>
      <c r="C29" s="139"/>
      <c r="D29" s="12">
        <f>D30</f>
        <v>11.136</v>
      </c>
      <c r="E29" s="12">
        <f>E30</f>
        <v>0.01</v>
      </c>
    </row>
    <row r="30" spans="1:5" ht="30">
      <c r="A30" s="15">
        <v>1</v>
      </c>
      <c r="B30" s="45" t="s">
        <v>41</v>
      </c>
      <c r="C30" s="45" t="s">
        <v>42</v>
      </c>
      <c r="D30" s="17">
        <f>E30*12*$D$2</f>
        <v>11.136</v>
      </c>
      <c r="E30" s="46">
        <v>0.01</v>
      </c>
    </row>
    <row r="31" spans="1:5" ht="32.25" customHeight="1">
      <c r="A31" s="139" t="s">
        <v>43</v>
      </c>
      <c r="B31" s="139"/>
      <c r="C31" s="139"/>
      <c r="D31" s="12">
        <f>D32</f>
        <v>66.816</v>
      </c>
      <c r="E31" s="12">
        <f>E32</f>
        <v>0.06</v>
      </c>
    </row>
    <row r="32" spans="1:5" ht="15">
      <c r="A32" s="15">
        <v>2</v>
      </c>
      <c r="B32" s="47" t="s">
        <v>46</v>
      </c>
      <c r="C32" s="8" t="s">
        <v>42</v>
      </c>
      <c r="D32" s="17">
        <f>E32*$D$2*12</f>
        <v>66.816</v>
      </c>
      <c r="E32" s="18">
        <v>0.06</v>
      </c>
    </row>
    <row r="33" spans="1:6" ht="15">
      <c r="A33" s="9"/>
      <c r="B33" s="27" t="s">
        <v>27</v>
      </c>
      <c r="C33" s="27"/>
      <c r="D33" s="48">
        <f>D29+D31</f>
        <v>77.952</v>
      </c>
      <c r="E33" s="12">
        <f>E29+E31</f>
        <v>0.06999999999999999</v>
      </c>
      <c r="F33" s="6"/>
    </row>
    <row r="34" spans="1:6" ht="15">
      <c r="A34" s="2"/>
      <c r="B34" s="2"/>
      <c r="C34" s="2"/>
      <c r="D34" s="2"/>
      <c r="E34" s="2"/>
      <c r="F34" s="2"/>
    </row>
    <row r="35" spans="1:6" s="56" customFormat="1" ht="15">
      <c r="A35" s="30"/>
      <c r="B35" s="30"/>
      <c r="C35" s="30"/>
      <c r="D35" s="30"/>
      <c r="E35" s="30"/>
      <c r="F35" s="29"/>
    </row>
    <row r="36" spans="2:3" ht="43.5">
      <c r="B36" s="30" t="s">
        <v>259</v>
      </c>
      <c r="C36" s="81">
        <v>4322.140145009457</v>
      </c>
    </row>
  </sheetData>
  <mergeCells count="8">
    <mergeCell ref="A17:C17"/>
    <mergeCell ref="A26:F26"/>
    <mergeCell ref="A29:C29"/>
    <mergeCell ref="A31:C31"/>
    <mergeCell ref="A4:E4"/>
    <mergeCell ref="A7:C7"/>
    <mergeCell ref="A10:C10"/>
    <mergeCell ref="A14:C14"/>
  </mergeCells>
  <printOptions horizontalCentered="1"/>
  <pageMargins left="0.3937007874015748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8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14.00390625" style="3" customWidth="1"/>
    <col min="7" max="16384" width="9.125" style="3" customWidth="1"/>
  </cols>
  <sheetData>
    <row r="1" ht="15">
      <c r="B1" s="59" t="s">
        <v>412</v>
      </c>
    </row>
    <row r="2" spans="1:6" ht="39" customHeight="1">
      <c r="A2" s="2"/>
      <c r="B2" s="1" t="s">
        <v>413</v>
      </c>
      <c r="C2" s="4"/>
      <c r="D2" s="5">
        <v>78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1184.2269458505784</v>
      </c>
      <c r="E7" s="12">
        <f>SUM(E8:E9)</f>
        <v>1.26519972847284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1083.4647263042802</v>
      </c>
      <c r="E8" s="20">
        <v>1.15754778451312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100.7622195462981</v>
      </c>
      <c r="E9" s="17">
        <v>0.10765194395972018</v>
      </c>
      <c r="F9" s="21"/>
    </row>
    <row r="10" spans="1:6" ht="15">
      <c r="A10" s="140" t="s">
        <v>64</v>
      </c>
      <c r="B10" s="143"/>
      <c r="C10" s="144"/>
      <c r="D10" s="23">
        <f>SUM(D11:D13)</f>
        <v>1299.8053936764006</v>
      </c>
      <c r="E10" s="23">
        <f>SUM(E11:E13)</f>
        <v>1.388680976150001</v>
      </c>
      <c r="F10" s="21"/>
    </row>
    <row r="11" spans="1:6" ht="18.75" customHeight="1">
      <c r="A11" s="15">
        <v>3</v>
      </c>
      <c r="B11" s="22" t="s">
        <v>17</v>
      </c>
      <c r="C11" s="22" t="s">
        <v>18</v>
      </c>
      <c r="D11" s="17">
        <f>E11*12*$D$2</f>
        <v>47.19022995124922</v>
      </c>
      <c r="E11" s="17">
        <v>0.05041691234107823</v>
      </c>
      <c r="F11" s="13"/>
    </row>
    <row r="12" spans="1:6" ht="30">
      <c r="A12" s="15">
        <v>4</v>
      </c>
      <c r="B12" s="22" t="s">
        <v>105</v>
      </c>
      <c r="C12" s="22" t="s">
        <v>18</v>
      </c>
      <c r="D12" s="17">
        <f>E12*12*$D$2</f>
        <v>128.30330885357856</v>
      </c>
      <c r="E12" s="17">
        <v>0.13707618467262667</v>
      </c>
      <c r="F12" s="103"/>
    </row>
    <row r="13" spans="1:6" ht="90">
      <c r="A13" s="15">
        <v>5</v>
      </c>
      <c r="B13" s="22" t="s">
        <v>106</v>
      </c>
      <c r="C13" s="22" t="s">
        <v>18</v>
      </c>
      <c r="D13" s="17">
        <f>E13*12*$D$2</f>
        <v>1124.311854871573</v>
      </c>
      <c r="E13" s="17">
        <v>1.201187879136296</v>
      </c>
      <c r="F13" s="2"/>
    </row>
    <row r="14" spans="1:6" ht="15">
      <c r="A14" s="145" t="s">
        <v>67</v>
      </c>
      <c r="B14" s="146"/>
      <c r="C14" s="146"/>
      <c r="D14" s="24">
        <f>SUM(D15:D16)</f>
        <v>2266.546666279397</v>
      </c>
      <c r="E14" s="24">
        <f>SUM(E15:E16)</f>
        <v>2.421524216110466</v>
      </c>
      <c r="F14" s="2"/>
    </row>
    <row r="15" spans="1:6" ht="75">
      <c r="A15" s="15">
        <v>6</v>
      </c>
      <c r="B15" s="22" t="s">
        <v>78</v>
      </c>
      <c r="C15" s="22" t="s">
        <v>18</v>
      </c>
      <c r="D15" s="17">
        <f>E15*12*$D$2</f>
        <v>135.15546100835198</v>
      </c>
      <c r="E15" s="17">
        <v>0.14439686005165808</v>
      </c>
      <c r="F15" s="2"/>
    </row>
    <row r="16" spans="1:6" ht="105">
      <c r="A16" s="15">
        <v>7</v>
      </c>
      <c r="B16" s="22" t="s">
        <v>22</v>
      </c>
      <c r="C16" s="22" t="s">
        <v>107</v>
      </c>
      <c r="D16" s="17">
        <f>E16*12*$D$2</f>
        <v>2131.391205271045</v>
      </c>
      <c r="E16" s="20">
        <v>2.2771273560588083</v>
      </c>
      <c r="F16" s="2"/>
    </row>
    <row r="17" spans="1:6" ht="15">
      <c r="A17" s="145" t="s">
        <v>70</v>
      </c>
      <c r="B17" s="145"/>
      <c r="C17" s="145"/>
      <c r="D17" s="25">
        <f>SUM(D18)</f>
        <v>222.4209919858917</v>
      </c>
      <c r="E17" s="25">
        <f>SUM(E18)</f>
        <v>0.237629264942192</v>
      </c>
      <c r="F17" s="2"/>
    </row>
    <row r="18" spans="1:6" ht="15">
      <c r="A18" s="15">
        <v>8</v>
      </c>
      <c r="B18" s="22" t="s">
        <v>25</v>
      </c>
      <c r="C18" s="22" t="s">
        <v>26</v>
      </c>
      <c r="D18" s="17">
        <f>E18*12*$D$2</f>
        <v>222.4209919858917</v>
      </c>
      <c r="E18" s="26">
        <f>0.232098494942192+0.00553077</f>
        <v>0.237629264942192</v>
      </c>
      <c r="F18" s="2"/>
    </row>
    <row r="19" spans="1:6" ht="15">
      <c r="A19" s="9"/>
      <c r="B19" s="27" t="s">
        <v>27</v>
      </c>
      <c r="C19" s="27"/>
      <c r="D19" s="48">
        <f>D7+D10+D14+D17</f>
        <v>4972.999997792267</v>
      </c>
      <c r="E19" s="12">
        <f>E7+E10+E14+E17</f>
        <v>5.313034185675499</v>
      </c>
      <c r="F19" s="6"/>
    </row>
    <row r="20" spans="1:6" ht="15">
      <c r="A20" s="29"/>
      <c r="B20" s="30"/>
      <c r="C20" s="31"/>
      <c r="D20" s="128"/>
      <c r="E20" s="64"/>
      <c r="F20" s="2"/>
    </row>
    <row r="21" spans="1:6" ht="15">
      <c r="A21" s="29"/>
      <c r="B21" s="30"/>
      <c r="C21" s="31"/>
      <c r="D21" s="128"/>
      <c r="E21" s="64"/>
      <c r="F21" s="2"/>
    </row>
    <row r="22" spans="1:6" ht="15">
      <c r="A22" s="29"/>
      <c r="B22" s="30"/>
      <c r="C22" s="31"/>
      <c r="D22" s="128"/>
      <c r="E22" s="64"/>
      <c r="F22" s="2"/>
    </row>
    <row r="23" spans="1:6" ht="29.25">
      <c r="A23" s="29"/>
      <c r="B23" s="30" t="s">
        <v>37</v>
      </c>
      <c r="C23" s="43">
        <f>D19</f>
        <v>4972.999997792267</v>
      </c>
      <c r="D23" s="43"/>
      <c r="E23" s="43"/>
      <c r="F23" s="42"/>
    </row>
    <row r="24" spans="1:6" ht="15">
      <c r="A24" s="29"/>
      <c r="B24" s="30" t="s">
        <v>38</v>
      </c>
      <c r="C24" s="44">
        <f>E19</f>
        <v>5.313034185675499</v>
      </c>
      <c r="D24" s="42"/>
      <c r="E24" s="42"/>
      <c r="F24" s="42"/>
    </row>
    <row r="25" spans="1:6" ht="15">
      <c r="A25" s="29"/>
      <c r="B25" s="30"/>
      <c r="C25" s="44"/>
      <c r="D25" s="42"/>
      <c r="E25" s="42"/>
      <c r="F25" s="42"/>
    </row>
    <row r="26" spans="1:6" ht="46.5" customHeight="1">
      <c r="A26" s="2"/>
      <c r="B26" s="2"/>
      <c r="C26" s="2"/>
      <c r="D26" s="2"/>
      <c r="E26" s="2"/>
      <c r="F26" s="2"/>
    </row>
    <row r="27" spans="1:6" ht="33" customHeight="1">
      <c r="A27" s="138" t="s">
        <v>39</v>
      </c>
      <c r="B27" s="138"/>
      <c r="C27" s="138"/>
      <c r="D27" s="138"/>
      <c r="E27" s="138"/>
      <c r="F27" s="6"/>
    </row>
    <row r="28" spans="1:6" ht="15">
      <c r="A28" s="1"/>
      <c r="B28" s="1"/>
      <c r="C28" s="1"/>
      <c r="D28" s="2"/>
      <c r="E28" s="2"/>
      <c r="F28" s="2"/>
    </row>
    <row r="29" spans="1:6" ht="71.25">
      <c r="A29" s="8"/>
      <c r="B29" s="9" t="s">
        <v>4</v>
      </c>
      <c r="C29" s="9" t="s">
        <v>5</v>
      </c>
      <c r="D29" s="9" t="s">
        <v>6</v>
      </c>
      <c r="E29" s="9" t="s">
        <v>7</v>
      </c>
      <c r="F29" s="2"/>
    </row>
    <row r="30" spans="1:5" ht="15">
      <c r="A30" s="139" t="s">
        <v>40</v>
      </c>
      <c r="B30" s="139"/>
      <c r="C30" s="139"/>
      <c r="D30" s="12">
        <f>D31</f>
        <v>9.36</v>
      </c>
      <c r="E30" s="12">
        <f>E31</f>
        <v>0.01</v>
      </c>
    </row>
    <row r="31" spans="1:5" ht="30">
      <c r="A31" s="15">
        <v>1</v>
      </c>
      <c r="B31" s="45" t="s">
        <v>41</v>
      </c>
      <c r="C31" s="45" t="s">
        <v>165</v>
      </c>
      <c r="D31" s="17">
        <f>E31*12*$D$2</f>
        <v>9.36</v>
      </c>
      <c r="E31" s="46">
        <v>0.01</v>
      </c>
    </row>
    <row r="32" spans="1:5" ht="32.25" customHeight="1">
      <c r="A32" s="139" t="s">
        <v>43</v>
      </c>
      <c r="B32" s="139"/>
      <c r="C32" s="139"/>
      <c r="D32" s="12">
        <f>D33+D34</f>
        <v>74.88</v>
      </c>
      <c r="E32" s="12">
        <f>E33+E34</f>
        <v>0.08</v>
      </c>
    </row>
    <row r="33" spans="1:5" ht="28.5" customHeight="1">
      <c r="A33" s="15">
        <v>2</v>
      </c>
      <c r="B33" s="45" t="s">
        <v>44</v>
      </c>
      <c r="C33" s="45" t="s">
        <v>45</v>
      </c>
      <c r="D33" s="17">
        <f>E33*$D$2*12</f>
        <v>18.72</v>
      </c>
      <c r="E33" s="46">
        <v>0.02</v>
      </c>
    </row>
    <row r="34" spans="1:5" ht="30">
      <c r="A34" s="15">
        <v>3</v>
      </c>
      <c r="B34" s="47" t="s">
        <v>46</v>
      </c>
      <c r="C34" s="8" t="s">
        <v>165</v>
      </c>
      <c r="D34" s="17">
        <f>E34*$D$2*12</f>
        <v>56.16</v>
      </c>
      <c r="E34" s="18">
        <v>0.06</v>
      </c>
    </row>
    <row r="35" spans="1:6" ht="15">
      <c r="A35" s="9"/>
      <c r="B35" s="27" t="s">
        <v>27</v>
      </c>
      <c r="C35" s="27"/>
      <c r="D35" s="48">
        <f>D30+D32</f>
        <v>84.24</v>
      </c>
      <c r="E35" s="12">
        <f>E30+E32</f>
        <v>0.09</v>
      </c>
      <c r="F35" s="6"/>
    </row>
    <row r="36" spans="1:6" ht="15">
      <c r="A36" s="2"/>
      <c r="B36" s="2"/>
      <c r="C36" s="2"/>
      <c r="D36" s="2"/>
      <c r="E36" s="2"/>
      <c r="F36" s="2"/>
    </row>
    <row r="37" spans="2:3" ht="29.25">
      <c r="B37" s="30" t="s">
        <v>414</v>
      </c>
      <c r="C37" s="43">
        <v>4972.999997792267</v>
      </c>
    </row>
  </sheetData>
  <sheetProtection/>
  <mergeCells count="8">
    <mergeCell ref="A4:E4"/>
    <mergeCell ref="A30:C30"/>
    <mergeCell ref="A32:C32"/>
    <mergeCell ref="A7:C7"/>
    <mergeCell ref="A10:C10"/>
    <mergeCell ref="A14:C14"/>
    <mergeCell ref="A17:C17"/>
    <mergeCell ref="A27:E27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6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415</v>
      </c>
    </row>
    <row r="2" spans="1:6" ht="39" customHeight="1">
      <c r="A2" s="2"/>
      <c r="B2" s="1" t="s">
        <v>416</v>
      </c>
      <c r="C2" s="4"/>
      <c r="D2" s="5">
        <v>81.5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1036.1985776192562</v>
      </c>
      <c r="E7" s="12">
        <f>SUM(E8:E9)</f>
        <v>1.0595077480769493</v>
      </c>
      <c r="F7" s="19"/>
      <c r="G7" s="14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948.0316355162454</v>
      </c>
      <c r="E8" s="20">
        <v>0.9693575005278583</v>
      </c>
      <c r="F8" s="21"/>
      <c r="G8" s="14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88.16694210301087</v>
      </c>
      <c r="E9" s="17">
        <v>0.09015024754909086</v>
      </c>
      <c r="F9" s="21"/>
      <c r="G9" s="14"/>
    </row>
    <row r="10" spans="1:7" ht="15">
      <c r="A10" s="140" t="s">
        <v>64</v>
      </c>
      <c r="B10" s="143"/>
      <c r="C10" s="144"/>
      <c r="D10" s="23">
        <f>SUM(D11:D13)</f>
        <v>1360.1653884476855</v>
      </c>
      <c r="E10" s="23">
        <f>SUM(E11:E13)</f>
        <v>1.3907621558769792</v>
      </c>
      <c r="F10" s="21"/>
      <c r="G10" s="14"/>
    </row>
    <row r="11" spans="1:7" ht="30">
      <c r="A11" s="11">
        <v>3</v>
      </c>
      <c r="B11" s="22" t="s">
        <v>17</v>
      </c>
      <c r="C11" s="22" t="s">
        <v>18</v>
      </c>
      <c r="D11" s="17">
        <f>E11*$D$2*12</f>
        <v>47.19022995124927</v>
      </c>
      <c r="E11" s="20">
        <v>0.04825176886630805</v>
      </c>
      <c r="F11" s="21"/>
      <c r="G11" s="14"/>
    </row>
    <row r="12" spans="1:7" ht="30">
      <c r="A12" s="11">
        <v>4</v>
      </c>
      <c r="B12" s="22" t="s">
        <v>105</v>
      </c>
      <c r="C12" s="22" t="s">
        <v>18</v>
      </c>
      <c r="D12" s="17">
        <f>E12*$D$2*12</f>
        <v>128.3033088535782</v>
      </c>
      <c r="E12" s="20">
        <v>0.1311894773553969</v>
      </c>
      <c r="F12" s="21"/>
      <c r="G12" s="14"/>
    </row>
    <row r="13" spans="1:7" ht="90">
      <c r="A13" s="15">
        <v>5</v>
      </c>
      <c r="B13" s="22" t="s">
        <v>106</v>
      </c>
      <c r="C13" s="22" t="s">
        <v>18</v>
      </c>
      <c r="D13" s="17">
        <f>E13*12*$D$2</f>
        <v>1184.671849642858</v>
      </c>
      <c r="E13" s="17">
        <v>1.2113209096552742</v>
      </c>
      <c r="F13" s="2"/>
      <c r="G13" s="14"/>
    </row>
    <row r="14" spans="1:7" ht="15">
      <c r="A14" s="145" t="s">
        <v>67</v>
      </c>
      <c r="B14" s="146"/>
      <c r="C14" s="146"/>
      <c r="D14" s="24">
        <f>SUM(D15:D16)</f>
        <v>2288.620169167545</v>
      </c>
      <c r="E14" s="24">
        <f>SUM(E15:E16)</f>
        <v>2.340102422461703</v>
      </c>
      <c r="F14" s="2"/>
      <c r="G14" s="14"/>
    </row>
    <row r="15" spans="1:7" ht="75">
      <c r="A15" s="15">
        <v>6</v>
      </c>
      <c r="B15" s="22" t="s">
        <v>78</v>
      </c>
      <c r="C15" s="22" t="s">
        <v>18</v>
      </c>
      <c r="D15" s="17">
        <f>E15*12*$D$2</f>
        <v>136.28489154403496</v>
      </c>
      <c r="E15" s="17">
        <v>0.13935060485075149</v>
      </c>
      <c r="F15" s="2"/>
      <c r="G15" s="14"/>
    </row>
    <row r="16" spans="1:7" ht="105">
      <c r="A16" s="15">
        <v>7</v>
      </c>
      <c r="B16" s="22" t="s">
        <v>22</v>
      </c>
      <c r="C16" s="22" t="s">
        <v>107</v>
      </c>
      <c r="D16" s="17">
        <f>E16*12*$D$2</f>
        <v>2152.33527762351</v>
      </c>
      <c r="E16" s="17">
        <v>2.2007518176109513</v>
      </c>
      <c r="F16" s="2"/>
      <c r="G16" s="14"/>
    </row>
    <row r="17" spans="1:7" ht="15">
      <c r="A17" s="145" t="s">
        <v>70</v>
      </c>
      <c r="B17" s="145"/>
      <c r="C17" s="145"/>
      <c r="D17" s="25">
        <f>SUM(D18)</f>
        <v>214.04558706626432</v>
      </c>
      <c r="E17" s="25">
        <f>SUM(E18)</f>
        <v>0.21886051847266288</v>
      </c>
      <c r="F17" s="2"/>
      <c r="G17" s="14"/>
    </row>
    <row r="18" spans="1:7" ht="15">
      <c r="A18" s="15">
        <v>8</v>
      </c>
      <c r="B18" s="22" t="s">
        <v>25</v>
      </c>
      <c r="C18" s="22" t="s">
        <v>26</v>
      </c>
      <c r="D18" s="17">
        <f>E18*12*$D$2</f>
        <v>214.04558706626432</v>
      </c>
      <c r="E18" s="26">
        <v>0.21886051847266288</v>
      </c>
      <c r="F18" s="2"/>
      <c r="G18" s="14"/>
    </row>
    <row r="19" spans="1:7" ht="15">
      <c r="A19" s="9"/>
      <c r="B19" s="27" t="s">
        <v>27</v>
      </c>
      <c r="C19" s="27"/>
      <c r="D19" s="48">
        <f>D7+D10+D14+D17</f>
        <v>4899.029722300751</v>
      </c>
      <c r="E19" s="12">
        <f>E7+E10+E14+E17</f>
        <v>5.009232844888294</v>
      </c>
      <c r="F19" s="6"/>
      <c r="G19" s="14"/>
    </row>
    <row r="20" spans="1:6" ht="15">
      <c r="A20" s="29"/>
      <c r="B20" s="30"/>
      <c r="C20" s="31"/>
      <c r="D20" s="128"/>
      <c r="E20" s="64"/>
      <c r="F20" s="2"/>
    </row>
    <row r="21" spans="1:6" ht="15">
      <c r="A21" s="29"/>
      <c r="B21" s="30"/>
      <c r="C21" s="31"/>
      <c r="D21" s="128"/>
      <c r="E21" s="64"/>
      <c r="F21" s="2"/>
    </row>
    <row r="22" spans="1:6" ht="29.25">
      <c r="A22" s="29"/>
      <c r="B22" s="30" t="s">
        <v>37</v>
      </c>
      <c r="C22" s="43">
        <f>D19</f>
        <v>4899.029722300751</v>
      </c>
      <c r="D22" s="43"/>
      <c r="E22" s="43"/>
      <c r="F22" s="42"/>
    </row>
    <row r="23" spans="1:6" ht="15">
      <c r="A23" s="29"/>
      <c r="B23" s="30" t="s">
        <v>38</v>
      </c>
      <c r="C23" s="44">
        <f>E19</f>
        <v>5.009232844888294</v>
      </c>
      <c r="D23" s="42"/>
      <c r="E23" s="42"/>
      <c r="F23" s="42"/>
    </row>
    <row r="24" spans="1:6" ht="15">
      <c r="A24" s="29"/>
      <c r="B24" s="30"/>
      <c r="C24" s="44"/>
      <c r="D24" s="42"/>
      <c r="E24" s="42"/>
      <c r="F24" s="42"/>
    </row>
    <row r="25" spans="1:6" ht="50.25" customHeight="1">
      <c r="A25" s="2"/>
      <c r="B25" s="2"/>
      <c r="C25" s="2"/>
      <c r="D25" s="2"/>
      <c r="E25" s="2"/>
      <c r="F25" s="2"/>
    </row>
    <row r="26" spans="1:6" ht="33" customHeight="1">
      <c r="A26" s="138" t="s">
        <v>39</v>
      </c>
      <c r="B26" s="138"/>
      <c r="C26" s="138"/>
      <c r="D26" s="138"/>
      <c r="E26" s="138"/>
      <c r="F26" s="138"/>
    </row>
    <row r="27" spans="1:6" ht="15">
      <c r="A27" s="1"/>
      <c r="B27" s="1"/>
      <c r="C27" s="1"/>
      <c r="D27" s="2"/>
      <c r="E27" s="2"/>
      <c r="F27" s="2"/>
    </row>
    <row r="28" spans="1:6" ht="71.25">
      <c r="A28" s="8"/>
      <c r="B28" s="9" t="s">
        <v>4</v>
      </c>
      <c r="C28" s="9" t="s">
        <v>5</v>
      </c>
      <c r="D28" s="9" t="s">
        <v>6</v>
      </c>
      <c r="E28" s="9" t="s">
        <v>7</v>
      </c>
      <c r="F28" s="2"/>
    </row>
    <row r="29" spans="1:5" ht="15">
      <c r="A29" s="139" t="s">
        <v>40</v>
      </c>
      <c r="B29" s="139"/>
      <c r="C29" s="139"/>
      <c r="D29" s="12">
        <f>D30</f>
        <v>9.78</v>
      </c>
      <c r="E29" s="12">
        <f>E30</f>
        <v>0.01</v>
      </c>
    </row>
    <row r="30" spans="1:5" ht="30">
      <c r="A30" s="15">
        <v>1</v>
      </c>
      <c r="B30" s="45" t="s">
        <v>41</v>
      </c>
      <c r="C30" s="45" t="s">
        <v>213</v>
      </c>
      <c r="D30" s="17">
        <f>E30*12*$D$2</f>
        <v>9.78</v>
      </c>
      <c r="E30" s="46">
        <v>0.01</v>
      </c>
    </row>
    <row r="31" spans="1:5" ht="32.25" customHeight="1">
      <c r="A31" s="139" t="s">
        <v>43</v>
      </c>
      <c r="B31" s="139"/>
      <c r="C31" s="139"/>
      <c r="D31" s="12">
        <f>D32+D33</f>
        <v>78.24</v>
      </c>
      <c r="E31" s="12">
        <f>E32+E33</f>
        <v>0.08</v>
      </c>
    </row>
    <row r="32" spans="1:5" ht="28.5" customHeight="1">
      <c r="A32" s="15">
        <v>2</v>
      </c>
      <c r="B32" s="45" t="s">
        <v>44</v>
      </c>
      <c r="C32" s="45" t="s">
        <v>45</v>
      </c>
      <c r="D32" s="17">
        <f>E32*$D$2*12</f>
        <v>19.560000000000002</v>
      </c>
      <c r="E32" s="46">
        <v>0.02</v>
      </c>
    </row>
    <row r="33" spans="1:5" ht="15">
      <c r="A33" s="15">
        <v>3</v>
      </c>
      <c r="B33" s="47" t="s">
        <v>46</v>
      </c>
      <c r="C33" s="8" t="s">
        <v>213</v>
      </c>
      <c r="D33" s="17">
        <f>E33*$D$2*12</f>
        <v>58.67999999999999</v>
      </c>
      <c r="E33" s="18">
        <v>0.06</v>
      </c>
    </row>
    <row r="34" spans="1:6" ht="15">
      <c r="A34" s="9"/>
      <c r="B34" s="27" t="s">
        <v>27</v>
      </c>
      <c r="C34" s="27"/>
      <c r="D34" s="48">
        <f>D29+D31</f>
        <v>88.02</v>
      </c>
      <c r="E34" s="12">
        <f>E29+E31</f>
        <v>0.09</v>
      </c>
      <c r="F34" s="6"/>
    </row>
    <row r="35" spans="1:6" ht="15">
      <c r="A35" s="2"/>
      <c r="B35" s="2"/>
      <c r="C35" s="2"/>
      <c r="D35" s="2"/>
      <c r="E35" s="2"/>
      <c r="F35" s="2"/>
    </row>
    <row r="37" spans="2:3" ht="29.25">
      <c r="B37" s="30" t="s">
        <v>417</v>
      </c>
      <c r="C37" s="132">
        <f>+C22</f>
        <v>4899.029722300751</v>
      </c>
    </row>
  </sheetData>
  <sheetProtection/>
  <mergeCells count="8">
    <mergeCell ref="A26:F26"/>
    <mergeCell ref="A29:C29"/>
    <mergeCell ref="A31:C31"/>
    <mergeCell ref="A4:E4"/>
    <mergeCell ref="A7:C7"/>
    <mergeCell ref="A10:C10"/>
    <mergeCell ref="A14:C14"/>
    <mergeCell ref="A17:C17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9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418</v>
      </c>
    </row>
    <row r="2" spans="1:6" ht="39" customHeight="1">
      <c r="A2" s="2"/>
      <c r="B2" s="1" t="s">
        <v>419</v>
      </c>
      <c r="C2" s="4"/>
      <c r="D2" s="5">
        <v>81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1184.2269458505782</v>
      </c>
      <c r="E7" s="12">
        <f>SUM(E8:E9)</f>
        <v>1.2183404792701422</v>
      </c>
      <c r="F7" s="19"/>
      <c r="G7" s="14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1083.46472630428</v>
      </c>
      <c r="E8" s="20">
        <v>1.114675644345967</v>
      </c>
      <c r="F8" s="21"/>
      <c r="G8" s="14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100.76221954629813</v>
      </c>
      <c r="E9" s="17">
        <v>0.10366483492417504</v>
      </c>
      <c r="F9" s="21"/>
      <c r="G9" s="14"/>
    </row>
    <row r="10" spans="1:7" ht="15">
      <c r="A10" s="140" t="s">
        <v>64</v>
      </c>
      <c r="B10" s="143"/>
      <c r="C10" s="144"/>
      <c r="D10" s="23">
        <f>SUM(D11:D13)</f>
        <v>1281.557023164155</v>
      </c>
      <c r="E10" s="23">
        <f>SUM(E11:E13)</f>
        <v>1.318474303666826</v>
      </c>
      <c r="F10" s="21"/>
      <c r="G10" s="14"/>
    </row>
    <row r="11" spans="1:7" ht="30">
      <c r="A11" s="11">
        <v>3</v>
      </c>
      <c r="B11" s="22" t="s">
        <v>17</v>
      </c>
      <c r="C11" s="22" t="s">
        <v>18</v>
      </c>
      <c r="D11" s="17">
        <f>E11*$D$2*12</f>
        <v>47.19022995124918</v>
      </c>
      <c r="E11" s="20">
        <v>0.04854961929140862</v>
      </c>
      <c r="F11" s="21"/>
      <c r="G11" s="14"/>
    </row>
    <row r="12" spans="1:7" ht="30">
      <c r="A12" s="11">
        <v>4</v>
      </c>
      <c r="B12" s="22" t="s">
        <v>105</v>
      </c>
      <c r="C12" s="22" t="s">
        <v>18</v>
      </c>
      <c r="D12" s="17">
        <f>E12*$D$2*12</f>
        <v>128.30330885357813</v>
      </c>
      <c r="E12" s="20">
        <v>0.13199928894401042</v>
      </c>
      <c r="F12" s="21"/>
      <c r="G12" s="14"/>
    </row>
    <row r="13" spans="1:7" ht="90">
      <c r="A13" s="15">
        <v>5</v>
      </c>
      <c r="B13" s="22" t="s">
        <v>106</v>
      </c>
      <c r="C13" s="22" t="s">
        <v>18</v>
      </c>
      <c r="D13" s="17">
        <f>E13*12*$D$2</f>
        <v>1106.0634843593277</v>
      </c>
      <c r="E13" s="17">
        <v>1.137925395431407</v>
      </c>
      <c r="F13" s="2"/>
      <c r="G13" s="14"/>
    </row>
    <row r="14" spans="1:7" ht="15">
      <c r="A14" s="145" t="s">
        <v>67</v>
      </c>
      <c r="B14" s="146"/>
      <c r="C14" s="146"/>
      <c r="D14" s="24">
        <f>SUM(D15:D16)</f>
        <v>2285.466811612091</v>
      </c>
      <c r="E14" s="24">
        <f>SUM(E15:E16)</f>
        <v>2.351303304127666</v>
      </c>
      <c r="F14" s="2"/>
      <c r="G14" s="14"/>
    </row>
    <row r="15" spans="1:7" ht="75">
      <c r="A15" s="15">
        <v>6</v>
      </c>
      <c r="B15" s="22" t="s">
        <v>78</v>
      </c>
      <c r="C15" s="22" t="s">
        <v>18</v>
      </c>
      <c r="D15" s="17">
        <f>E15*12*$D$2</f>
        <v>136.12354432465116</v>
      </c>
      <c r="E15" s="17">
        <v>0.14004479868791272</v>
      </c>
      <c r="F15" s="2"/>
      <c r="G15" s="14"/>
    </row>
    <row r="16" spans="1:7" ht="105">
      <c r="A16" s="15">
        <v>7</v>
      </c>
      <c r="B16" s="22" t="s">
        <v>22</v>
      </c>
      <c r="C16" s="22" t="s">
        <v>107</v>
      </c>
      <c r="D16" s="17">
        <f>E16*12*$D$2</f>
        <v>2149.34326728744</v>
      </c>
      <c r="E16" s="17">
        <v>2.211258505439753</v>
      </c>
      <c r="F16" s="2"/>
      <c r="G16" s="14"/>
    </row>
    <row r="17" spans="1:7" ht="15">
      <c r="A17" s="145" t="s">
        <v>70</v>
      </c>
      <c r="B17" s="145"/>
      <c r="C17" s="145"/>
      <c r="D17" s="25">
        <f>SUM(D18)</f>
        <v>215.52530780437564</v>
      </c>
      <c r="E17" s="25">
        <f>SUM(E18)</f>
        <v>0.22173385576581858</v>
      </c>
      <c r="F17" s="2"/>
      <c r="G17" s="14"/>
    </row>
    <row r="18" spans="1:7" ht="15">
      <c r="A18" s="15">
        <v>8</v>
      </c>
      <c r="B18" s="22" t="s">
        <v>25</v>
      </c>
      <c r="C18" s="22" t="s">
        <v>26</v>
      </c>
      <c r="D18" s="17">
        <f>E18*12*$D$2</f>
        <v>215.52530780437564</v>
      </c>
      <c r="E18" s="26">
        <v>0.22173385576581858</v>
      </c>
      <c r="F18" s="2"/>
      <c r="G18" s="14"/>
    </row>
    <row r="19" spans="1:7" ht="15">
      <c r="A19" s="9"/>
      <c r="B19" s="27" t="s">
        <v>27</v>
      </c>
      <c r="C19" s="27"/>
      <c r="D19" s="48">
        <f>D7+D10+D14+D17</f>
        <v>4966.776088431199</v>
      </c>
      <c r="E19" s="12">
        <f>E7+E10+E14+E17</f>
        <v>5.109851942830453</v>
      </c>
      <c r="F19" s="6"/>
      <c r="G19" s="14"/>
    </row>
    <row r="20" spans="1:6" ht="15">
      <c r="A20" s="29"/>
      <c r="B20" s="30"/>
      <c r="C20" s="31"/>
      <c r="D20" s="128"/>
      <c r="E20" s="64"/>
      <c r="F20" s="2"/>
    </row>
    <row r="21" spans="1:6" ht="15">
      <c r="A21" s="29"/>
      <c r="B21" s="30"/>
      <c r="C21" s="31"/>
      <c r="D21" s="128"/>
      <c r="E21" s="64"/>
      <c r="F21" s="2"/>
    </row>
    <row r="22" spans="1:6" ht="29.25">
      <c r="A22" s="29"/>
      <c r="B22" s="30" t="s">
        <v>37</v>
      </c>
      <c r="C22" s="43">
        <f>D19</f>
        <v>4966.776088431199</v>
      </c>
      <c r="D22" s="43"/>
      <c r="E22" s="43"/>
      <c r="F22" s="42"/>
    </row>
    <row r="23" spans="1:6" ht="15">
      <c r="A23" s="29"/>
      <c r="B23" s="30" t="s">
        <v>38</v>
      </c>
      <c r="C23" s="44">
        <f>E19</f>
        <v>5.109851942830453</v>
      </c>
      <c r="D23" s="42"/>
      <c r="E23" s="42"/>
      <c r="F23" s="42"/>
    </row>
    <row r="24" spans="1:6" ht="15">
      <c r="A24" s="29"/>
      <c r="B24" s="30"/>
      <c r="C24" s="44"/>
      <c r="D24" s="42"/>
      <c r="E24" s="42"/>
      <c r="F24" s="42"/>
    </row>
    <row r="25" spans="1:6" ht="51" customHeight="1">
      <c r="A25" s="2"/>
      <c r="B25" s="2"/>
      <c r="C25" s="2"/>
      <c r="D25" s="2"/>
      <c r="E25" s="2"/>
      <c r="F25" s="2"/>
    </row>
    <row r="26" spans="1:6" ht="33" customHeight="1">
      <c r="A26" s="138" t="s">
        <v>39</v>
      </c>
      <c r="B26" s="138"/>
      <c r="C26" s="138"/>
      <c r="D26" s="138"/>
      <c r="E26" s="138"/>
      <c r="F26" s="138"/>
    </row>
    <row r="27" spans="1:6" ht="15">
      <c r="A27" s="1"/>
      <c r="B27" s="1"/>
      <c r="C27" s="1"/>
      <c r="D27" s="2"/>
      <c r="E27" s="2"/>
      <c r="F27" s="2"/>
    </row>
    <row r="28" spans="1:6" ht="71.25">
      <c r="A28" s="8"/>
      <c r="B28" s="9" t="s">
        <v>4</v>
      </c>
      <c r="C28" s="9" t="s">
        <v>5</v>
      </c>
      <c r="D28" s="9" t="s">
        <v>6</v>
      </c>
      <c r="E28" s="9" t="s">
        <v>7</v>
      </c>
      <c r="F28" s="2"/>
    </row>
    <row r="29" spans="1:5" ht="15">
      <c r="A29" s="139" t="s">
        <v>40</v>
      </c>
      <c r="B29" s="139"/>
      <c r="C29" s="139"/>
      <c r="D29" s="12">
        <f>D30</f>
        <v>9.719999999999999</v>
      </c>
      <c r="E29" s="12">
        <f>E30</f>
        <v>0.01</v>
      </c>
    </row>
    <row r="30" spans="1:5" ht="30">
      <c r="A30" s="15">
        <v>1</v>
      </c>
      <c r="B30" s="45" t="s">
        <v>41</v>
      </c>
      <c r="C30" s="45" t="s">
        <v>213</v>
      </c>
      <c r="D30" s="17">
        <f>E30*12*$D$2</f>
        <v>9.719999999999999</v>
      </c>
      <c r="E30" s="46">
        <v>0.01</v>
      </c>
    </row>
    <row r="31" spans="1:5" ht="32.25" customHeight="1">
      <c r="A31" s="139" t="s">
        <v>43</v>
      </c>
      <c r="B31" s="139"/>
      <c r="C31" s="139"/>
      <c r="D31" s="12">
        <f>D32+D33</f>
        <v>77.75999999999999</v>
      </c>
      <c r="E31" s="12">
        <f>E32+E33</f>
        <v>0.08</v>
      </c>
    </row>
    <row r="32" spans="1:5" ht="28.5" customHeight="1">
      <c r="A32" s="15">
        <v>2</v>
      </c>
      <c r="B32" s="45" t="s">
        <v>44</v>
      </c>
      <c r="C32" s="45" t="s">
        <v>45</v>
      </c>
      <c r="D32" s="17">
        <f>E32*$D$2*12</f>
        <v>19.44</v>
      </c>
      <c r="E32" s="46">
        <v>0.02</v>
      </c>
    </row>
    <row r="33" spans="1:5" ht="15">
      <c r="A33" s="15">
        <v>3</v>
      </c>
      <c r="B33" s="47" t="s">
        <v>46</v>
      </c>
      <c r="C33" s="8" t="s">
        <v>213</v>
      </c>
      <c r="D33" s="17">
        <f>E33*$D$2*12</f>
        <v>58.31999999999999</v>
      </c>
      <c r="E33" s="18">
        <v>0.06</v>
      </c>
    </row>
    <row r="34" spans="1:6" ht="15">
      <c r="A34" s="9"/>
      <c r="B34" s="27" t="s">
        <v>27</v>
      </c>
      <c r="C34" s="27"/>
      <c r="D34" s="48">
        <f>D29+D31</f>
        <v>87.47999999999999</v>
      </c>
      <c r="E34" s="12">
        <f>E29+E31</f>
        <v>0.09</v>
      </c>
      <c r="F34" s="6"/>
    </row>
    <row r="35" spans="1:6" ht="15">
      <c r="A35" s="2"/>
      <c r="B35" s="2"/>
      <c r="C35" s="2"/>
      <c r="D35" s="2"/>
      <c r="E35" s="2"/>
      <c r="F35" s="2"/>
    </row>
    <row r="37" spans="2:3" ht="29.25">
      <c r="B37" s="30" t="s">
        <v>420</v>
      </c>
      <c r="C37" s="132">
        <f>+C22</f>
        <v>4966.776088431199</v>
      </c>
    </row>
  </sheetData>
  <sheetProtection/>
  <mergeCells count="8">
    <mergeCell ref="A26:F26"/>
    <mergeCell ref="A29:C29"/>
    <mergeCell ref="A31:C31"/>
    <mergeCell ref="A4:E4"/>
    <mergeCell ref="A7:C7"/>
    <mergeCell ref="A10:C10"/>
    <mergeCell ref="A14:C14"/>
    <mergeCell ref="A17:C17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9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421</v>
      </c>
    </row>
    <row r="2" spans="1:6" ht="39" customHeight="1">
      <c r="A2" s="2"/>
      <c r="B2" s="1" t="s">
        <v>422</v>
      </c>
      <c r="C2" s="4"/>
      <c r="D2" s="5">
        <v>77.6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296.0567364626442</v>
      </c>
      <c r="E7" s="12">
        <f>SUM(E8:E9)</f>
        <v>0.3179303441394375</v>
      </c>
      <c r="F7" s="19"/>
      <c r="G7" s="14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270.8661815760697</v>
      </c>
      <c r="E8" s="20">
        <v>0.2908786314176006</v>
      </c>
      <c r="F8" s="21"/>
      <c r="G8" s="14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25.190554886574507</v>
      </c>
      <c r="E9" s="17">
        <v>0.027051712721836884</v>
      </c>
      <c r="F9" s="21"/>
      <c r="G9" s="14"/>
    </row>
    <row r="10" spans="1:7" ht="15">
      <c r="A10" s="140" t="s">
        <v>64</v>
      </c>
      <c r="B10" s="143"/>
      <c r="C10" s="144"/>
      <c r="D10" s="23">
        <f>SUM(D11:D13)</f>
        <v>1273.8365587166638</v>
      </c>
      <c r="E10" s="23">
        <f>SUM(E11:E13)</f>
        <v>1.3679516309242523</v>
      </c>
      <c r="F10" s="21"/>
      <c r="G10" s="14"/>
    </row>
    <row r="11" spans="1:7" ht="30">
      <c r="A11" s="11">
        <v>3</v>
      </c>
      <c r="B11" s="22" t="s">
        <v>17</v>
      </c>
      <c r="C11" s="22" t="s">
        <v>18</v>
      </c>
      <c r="D11" s="17">
        <f>E11*$D$2*12</f>
        <v>47.19022995124925</v>
      </c>
      <c r="E11" s="20">
        <v>0.05067679333252712</v>
      </c>
      <c r="F11" s="21"/>
      <c r="G11" s="14"/>
    </row>
    <row r="12" spans="1:7" ht="30">
      <c r="A12" s="11">
        <v>4</v>
      </c>
      <c r="B12" s="22" t="s">
        <v>105</v>
      </c>
      <c r="C12" s="22" t="s">
        <v>18</v>
      </c>
      <c r="D12" s="17">
        <f>E12*$D$2*12</f>
        <v>128.3033088535786</v>
      </c>
      <c r="E12" s="20">
        <v>0.1377827629441351</v>
      </c>
      <c r="F12" s="21"/>
      <c r="G12" s="14"/>
    </row>
    <row r="13" spans="1:7" ht="90">
      <c r="A13" s="15">
        <v>5</v>
      </c>
      <c r="B13" s="22" t="s">
        <v>106</v>
      </c>
      <c r="C13" s="22" t="s">
        <v>18</v>
      </c>
      <c r="D13" s="17">
        <f>E13*12*$D$2</f>
        <v>1098.3430199118359</v>
      </c>
      <c r="E13" s="17">
        <v>1.17949207464759</v>
      </c>
      <c r="F13" s="2"/>
      <c r="G13" s="14"/>
    </row>
    <row r="14" spans="1:7" ht="15">
      <c r="A14" s="145" t="s">
        <v>67</v>
      </c>
      <c r="B14" s="146"/>
      <c r="C14" s="146"/>
      <c r="D14" s="24">
        <f>SUM(D15:D16)</f>
        <v>1775.984725557899</v>
      </c>
      <c r="E14" s="24">
        <f>SUM(E15:E16)</f>
        <v>1.9072000918791874</v>
      </c>
      <c r="F14" s="2"/>
      <c r="G14" s="14"/>
    </row>
    <row r="15" spans="1:7" ht="75">
      <c r="A15" s="15">
        <v>6</v>
      </c>
      <c r="B15" s="22" t="s">
        <v>78</v>
      </c>
      <c r="C15" s="22" t="s">
        <v>18</v>
      </c>
      <c r="D15" s="17">
        <f>E15*12*$D$2</f>
        <v>133.10211297149598</v>
      </c>
      <c r="E15" s="17">
        <v>0.14293611788176117</v>
      </c>
      <c r="F15" s="2"/>
      <c r="G15" s="14"/>
    </row>
    <row r="16" spans="1:7" ht="105">
      <c r="A16" s="15">
        <v>7</v>
      </c>
      <c r="B16" s="22" t="s">
        <v>22</v>
      </c>
      <c r="C16" s="22" t="s">
        <v>107</v>
      </c>
      <c r="D16" s="17">
        <f>E16*12*$D$2</f>
        <v>1642.8826125864032</v>
      </c>
      <c r="E16" s="17">
        <v>1.7642639739974262</v>
      </c>
      <c r="F16" s="2"/>
      <c r="G16" s="14"/>
    </row>
    <row r="17" spans="1:7" ht="15">
      <c r="A17" s="145" t="s">
        <v>70</v>
      </c>
      <c r="B17" s="145"/>
      <c r="C17" s="145"/>
      <c r="D17" s="25">
        <f>SUM(D18)</f>
        <v>196.98212108108729</v>
      </c>
      <c r="E17" s="25">
        <f>SUM(E18)</f>
        <v>0.211535782947903</v>
      </c>
      <c r="F17" s="2"/>
      <c r="G17" s="14"/>
    </row>
    <row r="18" spans="1:7" ht="15">
      <c r="A18" s="15">
        <v>8</v>
      </c>
      <c r="B18" s="22" t="s">
        <v>25</v>
      </c>
      <c r="C18" s="22" t="s">
        <v>26</v>
      </c>
      <c r="D18" s="17">
        <f>E18*12*$D$2</f>
        <v>196.98212108108729</v>
      </c>
      <c r="E18" s="26">
        <f>0.211035782947903+0.0005</f>
        <v>0.211535782947903</v>
      </c>
      <c r="F18" s="2"/>
      <c r="G18" s="14"/>
    </row>
    <row r="19" spans="1:7" ht="15">
      <c r="A19" s="9"/>
      <c r="B19" s="27" t="s">
        <v>27</v>
      </c>
      <c r="C19" s="27"/>
      <c r="D19" s="48">
        <f>D7+D10+D14+D17</f>
        <v>3542.860141818295</v>
      </c>
      <c r="E19" s="12">
        <f>E7+E10+E14+E17</f>
        <v>3.80461784989078</v>
      </c>
      <c r="F19" s="6"/>
      <c r="G19" s="14"/>
    </row>
    <row r="20" spans="1:6" ht="15">
      <c r="A20" s="29"/>
      <c r="B20" s="30"/>
      <c r="C20" s="31"/>
      <c r="D20" s="128"/>
      <c r="E20" s="64"/>
      <c r="F20" s="2"/>
    </row>
    <row r="21" spans="1:6" ht="15">
      <c r="A21" s="29"/>
      <c r="B21" s="30"/>
      <c r="C21" s="31"/>
      <c r="D21" s="128"/>
      <c r="E21" s="64"/>
      <c r="F21" s="2"/>
    </row>
    <row r="22" spans="1:6" ht="29.25">
      <c r="A22" s="29"/>
      <c r="B22" s="30" t="s">
        <v>37</v>
      </c>
      <c r="C22" s="43">
        <f>D19</f>
        <v>3542.860141818295</v>
      </c>
      <c r="D22" s="43"/>
      <c r="E22" s="43"/>
      <c r="F22" s="42"/>
    </row>
    <row r="23" spans="1:6" ht="15">
      <c r="A23" s="29"/>
      <c r="B23" s="30" t="s">
        <v>38</v>
      </c>
      <c r="C23" s="44">
        <f>E19</f>
        <v>3.80461784989078</v>
      </c>
      <c r="D23" s="42"/>
      <c r="E23" s="42"/>
      <c r="F23" s="42"/>
    </row>
    <row r="24" spans="1:6" ht="15">
      <c r="A24" s="29"/>
      <c r="B24" s="30"/>
      <c r="C24" s="44"/>
      <c r="D24" s="42"/>
      <c r="E24" s="42"/>
      <c r="F24" s="42"/>
    </row>
    <row r="25" spans="1:6" ht="54.75" customHeight="1">
      <c r="A25" s="2"/>
      <c r="B25" s="2"/>
      <c r="C25" s="2"/>
      <c r="D25" s="2"/>
      <c r="E25" s="2"/>
      <c r="F25" s="2"/>
    </row>
    <row r="26" spans="1:6" ht="33" customHeight="1">
      <c r="A26" s="138" t="s">
        <v>39</v>
      </c>
      <c r="B26" s="138"/>
      <c r="C26" s="138"/>
      <c r="D26" s="138"/>
      <c r="E26" s="138"/>
      <c r="F26" s="138"/>
    </row>
    <row r="27" spans="1:6" ht="15">
      <c r="A27" s="1"/>
      <c r="B27" s="1"/>
      <c r="C27" s="1"/>
      <c r="D27" s="2"/>
      <c r="E27" s="2"/>
      <c r="F27" s="2"/>
    </row>
    <row r="28" spans="1:6" ht="71.25">
      <c r="A28" s="8"/>
      <c r="B28" s="9" t="s">
        <v>4</v>
      </c>
      <c r="C28" s="9" t="s">
        <v>5</v>
      </c>
      <c r="D28" s="9" t="s">
        <v>6</v>
      </c>
      <c r="E28" s="9" t="s">
        <v>7</v>
      </c>
      <c r="F28" s="2"/>
    </row>
    <row r="29" spans="1:5" ht="15">
      <c r="A29" s="139" t="s">
        <v>40</v>
      </c>
      <c r="B29" s="139"/>
      <c r="C29" s="139"/>
      <c r="D29" s="12">
        <f>D30</f>
        <v>9.312</v>
      </c>
      <c r="E29" s="12">
        <f>E30</f>
        <v>0.01</v>
      </c>
    </row>
    <row r="30" spans="1:5" ht="30">
      <c r="A30" s="15">
        <v>1</v>
      </c>
      <c r="B30" s="45" t="s">
        <v>41</v>
      </c>
      <c r="C30" s="45" t="s">
        <v>213</v>
      </c>
      <c r="D30" s="17">
        <f>E30*12*$D$2</f>
        <v>9.312</v>
      </c>
      <c r="E30" s="46">
        <v>0.01</v>
      </c>
    </row>
    <row r="31" spans="1:5" ht="32.25" customHeight="1">
      <c r="A31" s="139" t="s">
        <v>43</v>
      </c>
      <c r="B31" s="139"/>
      <c r="C31" s="139"/>
      <c r="D31" s="12">
        <f>D32+D33</f>
        <v>74.496</v>
      </c>
      <c r="E31" s="12">
        <f>E32+E33</f>
        <v>0.08</v>
      </c>
    </row>
    <row r="32" spans="1:5" ht="28.5" customHeight="1">
      <c r="A32" s="15">
        <v>2</v>
      </c>
      <c r="B32" s="45" t="s">
        <v>44</v>
      </c>
      <c r="C32" s="45" t="s">
        <v>45</v>
      </c>
      <c r="D32" s="17">
        <f>E32*$D$2*12</f>
        <v>18.624</v>
      </c>
      <c r="E32" s="46">
        <v>0.02</v>
      </c>
    </row>
    <row r="33" spans="1:5" ht="15">
      <c r="A33" s="15">
        <v>3</v>
      </c>
      <c r="B33" s="47" t="s">
        <v>46</v>
      </c>
      <c r="C33" s="8" t="s">
        <v>213</v>
      </c>
      <c r="D33" s="17">
        <f>E33*$D$2*12</f>
        <v>55.872</v>
      </c>
      <c r="E33" s="18">
        <v>0.06</v>
      </c>
    </row>
    <row r="34" spans="1:6" ht="15">
      <c r="A34" s="9"/>
      <c r="B34" s="27" t="s">
        <v>27</v>
      </c>
      <c r="C34" s="27"/>
      <c r="D34" s="48">
        <f>D29+D31</f>
        <v>83.80799999999999</v>
      </c>
      <c r="E34" s="12">
        <f>E29+E31</f>
        <v>0.09</v>
      </c>
      <c r="F34" s="6"/>
    </row>
    <row r="35" spans="1:6" ht="15">
      <c r="A35" s="2"/>
      <c r="B35" s="2"/>
      <c r="C35" s="2"/>
      <c r="D35" s="2"/>
      <c r="E35" s="2"/>
      <c r="F35" s="2"/>
    </row>
    <row r="37" spans="2:3" ht="29.25">
      <c r="B37" s="30" t="s">
        <v>423</v>
      </c>
      <c r="C37" s="132">
        <f>+C22</f>
        <v>3542.860141818295</v>
      </c>
    </row>
  </sheetData>
  <sheetProtection/>
  <mergeCells count="8">
    <mergeCell ref="A26:F26"/>
    <mergeCell ref="A29:C29"/>
    <mergeCell ref="A31:C31"/>
    <mergeCell ref="A4:E4"/>
    <mergeCell ref="A7:C7"/>
    <mergeCell ref="A10:C10"/>
    <mergeCell ref="A14:C14"/>
    <mergeCell ref="A17:C17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49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424</v>
      </c>
    </row>
    <row r="2" spans="1:6" ht="39" customHeight="1">
      <c r="A2" s="2"/>
      <c r="B2" s="1" t="s">
        <v>425</v>
      </c>
      <c r="C2" s="4"/>
      <c r="D2" s="5">
        <v>80.8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352</v>
      </c>
      <c r="B7" s="141"/>
      <c r="C7" s="142"/>
      <c r="D7" s="12">
        <f>SUM(D8:D9)</f>
        <v>1036.1985776192562</v>
      </c>
      <c r="E7" s="12">
        <f>SUM(E8:E9)</f>
        <v>1.0686866518350413</v>
      </c>
      <c r="F7" s="19"/>
      <c r="G7" s="14"/>
    </row>
    <row r="8" spans="1:7" ht="15.75" customHeight="1">
      <c r="A8" s="15" t="s">
        <v>62</v>
      </c>
      <c r="B8" s="8" t="s">
        <v>12</v>
      </c>
      <c r="C8" s="16" t="s">
        <v>13</v>
      </c>
      <c r="D8" s="17">
        <f>E8*$D$2*12</f>
        <v>948.0316355162454</v>
      </c>
      <c r="E8" s="20">
        <v>0.9777553996660946</v>
      </c>
      <c r="F8" s="21"/>
      <c r="G8" s="14"/>
    </row>
    <row r="9" spans="1:7" ht="30">
      <c r="A9" s="15" t="s">
        <v>63</v>
      </c>
      <c r="B9" s="22" t="s">
        <v>14</v>
      </c>
      <c r="C9" s="22" t="s">
        <v>15</v>
      </c>
      <c r="D9" s="17">
        <f>E9*$D$2*12</f>
        <v>88.16694210301078</v>
      </c>
      <c r="E9" s="17">
        <v>0.09093125216894676</v>
      </c>
      <c r="F9" s="21"/>
      <c r="G9" s="14"/>
    </row>
    <row r="10" spans="1:7" ht="15">
      <c r="A10" s="140" t="s">
        <v>295</v>
      </c>
      <c r="B10" s="143"/>
      <c r="C10" s="144"/>
      <c r="D10" s="23">
        <f>SUM(D11:D12)</f>
        <v>85.67563517824208</v>
      </c>
      <c r="E10" s="23">
        <f>SUM(E11:E12)</f>
        <v>0.08836183496105823</v>
      </c>
      <c r="F10" s="21"/>
      <c r="G10" s="14"/>
    </row>
    <row r="11" spans="1:7" ht="18.75" customHeight="1">
      <c r="A11" s="15" t="s">
        <v>65</v>
      </c>
      <c r="B11" s="22" t="s">
        <v>17</v>
      </c>
      <c r="C11" s="22" t="s">
        <v>18</v>
      </c>
      <c r="D11" s="17">
        <f>E11*12*$D$2</f>
        <v>47.1902299512492</v>
      </c>
      <c r="E11" s="17">
        <v>0.048669791616387376</v>
      </c>
      <c r="F11" s="13"/>
      <c r="G11" s="14"/>
    </row>
    <row r="12" spans="1:7" ht="60">
      <c r="A12" s="15" t="s">
        <v>66</v>
      </c>
      <c r="B12" s="22" t="s">
        <v>311</v>
      </c>
      <c r="C12" s="22" t="s">
        <v>18</v>
      </c>
      <c r="D12" s="17">
        <f>E12*12*$D$2</f>
        <v>38.485405226992874</v>
      </c>
      <c r="E12" s="17">
        <v>0.039692043344670865</v>
      </c>
      <c r="F12" s="2"/>
      <c r="G12" s="14"/>
    </row>
    <row r="13" spans="1:7" ht="15">
      <c r="A13" s="145" t="s">
        <v>297</v>
      </c>
      <c r="B13" s="146"/>
      <c r="C13" s="146"/>
      <c r="D13" s="24">
        <f>SUM(D14:D15)</f>
        <v>287.38929731760186</v>
      </c>
      <c r="E13" s="24">
        <f>SUM(E14:E15)</f>
        <v>0.2963998528440613</v>
      </c>
      <c r="F13" s="2"/>
      <c r="G13" s="14"/>
    </row>
    <row r="14" spans="1:7" ht="60">
      <c r="A14" s="15" t="s">
        <v>68</v>
      </c>
      <c r="B14" s="22" t="s">
        <v>86</v>
      </c>
      <c r="C14" s="22" t="s">
        <v>18</v>
      </c>
      <c r="D14" s="17">
        <f>E14*12*$D$2</f>
        <v>13.17696315459756</v>
      </c>
      <c r="E14" s="17">
        <v>0.013590102263405075</v>
      </c>
      <c r="F14" s="2"/>
      <c r="G14" s="14"/>
    </row>
    <row r="15" spans="1:7" ht="60">
      <c r="A15" s="15" t="s">
        <v>69</v>
      </c>
      <c r="B15" s="22" t="s">
        <v>22</v>
      </c>
      <c r="C15" s="22" t="s">
        <v>87</v>
      </c>
      <c r="D15" s="17">
        <f>E15*12*$D$2</f>
        <v>274.2123341630043</v>
      </c>
      <c r="E15" s="20">
        <v>0.2828097505806562</v>
      </c>
      <c r="F15" s="2"/>
      <c r="G15" s="14"/>
    </row>
    <row r="16" spans="1:7" ht="15">
      <c r="A16" s="145" t="s">
        <v>298</v>
      </c>
      <c r="B16" s="145"/>
      <c r="C16" s="145"/>
      <c r="D16" s="25">
        <f>SUM(D17)</f>
        <v>181.28261309733892</v>
      </c>
      <c r="E16" s="25">
        <f>SUM(E17)</f>
        <v>0.18696639139577037</v>
      </c>
      <c r="F16" s="2"/>
      <c r="G16" s="14"/>
    </row>
    <row r="17" spans="1:7" ht="15">
      <c r="A17" s="15" t="s">
        <v>71</v>
      </c>
      <c r="B17" s="22" t="s">
        <v>25</v>
      </c>
      <c r="C17" s="22" t="s">
        <v>26</v>
      </c>
      <c r="D17" s="17">
        <f>E17*12*$D$2</f>
        <v>181.28261309733892</v>
      </c>
      <c r="E17" s="26">
        <v>0.18696639139577037</v>
      </c>
      <c r="F17" s="2"/>
      <c r="G17" s="14"/>
    </row>
    <row r="18" spans="1:7" ht="15">
      <c r="A18" s="9"/>
      <c r="B18" s="27" t="s">
        <v>27</v>
      </c>
      <c r="C18" s="27"/>
      <c r="D18" s="48">
        <f>D7+D10+D13+D16</f>
        <v>1590.5461232124392</v>
      </c>
      <c r="E18" s="12">
        <f>E7+E10+E13+E16</f>
        <v>1.6404147310359312</v>
      </c>
      <c r="F18" s="6"/>
      <c r="G18" s="14"/>
    </row>
    <row r="19" spans="1:6" ht="15">
      <c r="A19" s="29"/>
      <c r="B19" s="30"/>
      <c r="C19" s="31"/>
      <c r="D19" s="32"/>
      <c r="E19" s="33"/>
      <c r="F19" s="2"/>
    </row>
    <row r="20" spans="1:6" ht="15">
      <c r="A20" s="30"/>
      <c r="B20" s="30"/>
      <c r="C20" s="30"/>
      <c r="D20" s="30"/>
      <c r="E20" s="30"/>
      <c r="F20" s="29"/>
    </row>
    <row r="21" spans="1:6" ht="15">
      <c r="A21" s="29"/>
      <c r="B21" s="30"/>
      <c r="C21" s="42"/>
      <c r="D21" s="42"/>
      <c r="E21" s="42"/>
      <c r="F21" s="42"/>
    </row>
    <row r="22" spans="1:6" ht="29.25">
      <c r="A22" s="29"/>
      <c r="B22" s="30" t="s">
        <v>37</v>
      </c>
      <c r="C22" s="43">
        <f>D18</f>
        <v>1590.5461232124392</v>
      </c>
      <c r="D22" s="43"/>
      <c r="E22" s="43"/>
      <c r="F22" s="42"/>
    </row>
    <row r="23" spans="1:6" ht="15">
      <c r="A23" s="29"/>
      <c r="B23" s="30" t="s">
        <v>38</v>
      </c>
      <c r="C23" s="44">
        <f>E18</f>
        <v>1.6404147310359312</v>
      </c>
      <c r="D23" s="42"/>
      <c r="E23" s="42"/>
      <c r="F23" s="42"/>
    </row>
    <row r="24" spans="1:6" ht="15">
      <c r="A24" s="29"/>
      <c r="B24" s="30"/>
      <c r="C24" s="44"/>
      <c r="D24" s="42"/>
      <c r="E24" s="42"/>
      <c r="F24" s="42"/>
    </row>
    <row r="25" spans="1:6" ht="15">
      <c r="A25" s="2"/>
      <c r="B25" s="2"/>
      <c r="C25" s="2"/>
      <c r="D25" s="2"/>
      <c r="E25" s="2"/>
      <c r="F25" s="2"/>
    </row>
    <row r="26" spans="1:6" ht="33" customHeight="1">
      <c r="A26" s="138" t="s">
        <v>39</v>
      </c>
      <c r="B26" s="138"/>
      <c r="C26" s="138"/>
      <c r="D26" s="138"/>
      <c r="E26" s="138"/>
      <c r="F26" s="138"/>
    </row>
    <row r="27" spans="1:6" ht="15">
      <c r="A27" s="1"/>
      <c r="B27" s="1"/>
      <c r="C27" s="1"/>
      <c r="D27" s="2"/>
      <c r="E27" s="2"/>
      <c r="F27" s="2"/>
    </row>
    <row r="28" spans="1:6" ht="71.25">
      <c r="A28" s="8"/>
      <c r="B28" s="9" t="s">
        <v>4</v>
      </c>
      <c r="C28" s="9" t="s">
        <v>5</v>
      </c>
      <c r="D28" s="9" t="s">
        <v>6</v>
      </c>
      <c r="E28" s="9" t="s">
        <v>7</v>
      </c>
      <c r="F28" s="2"/>
    </row>
    <row r="29" spans="1:5" ht="15">
      <c r="A29" s="139" t="s">
        <v>40</v>
      </c>
      <c r="B29" s="139"/>
      <c r="C29" s="139"/>
      <c r="D29" s="12">
        <f>+D30</f>
        <v>9.696</v>
      </c>
      <c r="E29" s="12">
        <f>+E30</f>
        <v>0.01</v>
      </c>
    </row>
    <row r="30" spans="1:5" ht="30">
      <c r="A30" s="15" t="s">
        <v>62</v>
      </c>
      <c r="B30" s="45" t="s">
        <v>41</v>
      </c>
      <c r="C30" s="45" t="s">
        <v>165</v>
      </c>
      <c r="D30" s="17">
        <f>E30*12*$D$2</f>
        <v>9.696</v>
      </c>
      <c r="E30" s="46">
        <v>0.01</v>
      </c>
    </row>
    <row r="31" spans="1:5" ht="32.25" customHeight="1">
      <c r="A31" s="139" t="s">
        <v>43</v>
      </c>
      <c r="B31" s="139"/>
      <c r="C31" s="139"/>
      <c r="D31" s="12">
        <f>D32+D33</f>
        <v>77.568</v>
      </c>
      <c r="E31" s="12">
        <f>E32+E33</f>
        <v>0.08</v>
      </c>
    </row>
    <row r="32" spans="1:5" ht="43.5" customHeight="1">
      <c r="A32" s="15" t="s">
        <v>63</v>
      </c>
      <c r="B32" s="45" t="s">
        <v>44</v>
      </c>
      <c r="C32" s="45" t="s">
        <v>45</v>
      </c>
      <c r="D32" s="17">
        <f>E32*$D$2*12</f>
        <v>19.392</v>
      </c>
      <c r="E32" s="46">
        <v>0.02</v>
      </c>
    </row>
    <row r="33" spans="1:5" ht="30">
      <c r="A33" s="15" t="s">
        <v>65</v>
      </c>
      <c r="B33" s="47" t="s">
        <v>46</v>
      </c>
      <c r="C33" s="8" t="s">
        <v>165</v>
      </c>
      <c r="D33" s="17">
        <f>E33*$D$2*12</f>
        <v>58.176</v>
      </c>
      <c r="E33" s="18">
        <v>0.06</v>
      </c>
    </row>
    <row r="34" spans="1:6" ht="15">
      <c r="A34" s="9"/>
      <c r="B34" s="27" t="s">
        <v>27</v>
      </c>
      <c r="C34" s="27"/>
      <c r="D34" s="48">
        <f>D29+D31</f>
        <v>87.264</v>
      </c>
      <c r="E34" s="12">
        <f>E29+E31</f>
        <v>0.09</v>
      </c>
      <c r="F34" s="6"/>
    </row>
    <row r="35" spans="1:6" ht="15">
      <c r="A35" s="2"/>
      <c r="B35" s="2"/>
      <c r="C35" s="2"/>
      <c r="D35" s="2"/>
      <c r="E35" s="2"/>
      <c r="F35" s="2"/>
    </row>
    <row r="36" spans="1:6" ht="15">
      <c r="A36" s="30"/>
      <c r="B36" s="30"/>
      <c r="C36" s="30"/>
      <c r="D36" s="30"/>
      <c r="E36" s="30"/>
      <c r="F36" s="29"/>
    </row>
    <row r="37" spans="1:6" ht="15">
      <c r="A37" s="56"/>
      <c r="B37" s="1" t="s">
        <v>426</v>
      </c>
      <c r="C37" s="56"/>
      <c r="D37" s="133">
        <v>78.9</v>
      </c>
      <c r="E37" s="133" t="s">
        <v>2</v>
      </c>
      <c r="F37" s="56"/>
    </row>
    <row r="38" spans="1:6" ht="43.5" customHeight="1">
      <c r="A38" s="138" t="s">
        <v>3</v>
      </c>
      <c r="B38" s="138"/>
      <c r="C38" s="138"/>
      <c r="D38" s="138"/>
      <c r="E38" s="138"/>
      <c r="F38" s="2"/>
    </row>
    <row r="39" spans="1:6" ht="15">
      <c r="A39" s="1"/>
      <c r="B39" s="1"/>
      <c r="C39" s="1"/>
      <c r="D39" s="1"/>
      <c r="E39" s="1"/>
      <c r="F39" s="2"/>
    </row>
    <row r="40" spans="1:6" ht="71.25">
      <c r="A40" s="8"/>
      <c r="B40" s="9" t="s">
        <v>4</v>
      </c>
      <c r="C40" s="9" t="s">
        <v>5</v>
      </c>
      <c r="D40" s="9" t="s">
        <v>6</v>
      </c>
      <c r="E40" s="9" t="s">
        <v>7</v>
      </c>
      <c r="F40" s="2"/>
    </row>
    <row r="41" spans="1:7" ht="15">
      <c r="A41" s="140" t="s">
        <v>352</v>
      </c>
      <c r="B41" s="141"/>
      <c r="C41" s="142"/>
      <c r="D41" s="12">
        <f>SUM(D42:D43)</f>
        <v>296.0567364626447</v>
      </c>
      <c r="E41" s="12">
        <f>SUM(E42:E43)</f>
        <v>0.3126919481016527</v>
      </c>
      <c r="F41" s="19"/>
      <c r="G41" s="14"/>
    </row>
    <row r="42" spans="1:7" ht="15">
      <c r="A42" s="15" t="s">
        <v>62</v>
      </c>
      <c r="B42" s="8" t="s">
        <v>12</v>
      </c>
      <c r="C42" s="16" t="s">
        <v>13</v>
      </c>
      <c r="D42" s="17">
        <f>E42*$D$37*12</f>
        <v>270.8661815760702</v>
      </c>
      <c r="E42" s="20">
        <v>0.2860859543473492</v>
      </c>
      <c r="F42" s="21"/>
      <c r="G42" s="14"/>
    </row>
    <row r="43" spans="1:7" ht="30">
      <c r="A43" s="15" t="s">
        <v>63</v>
      </c>
      <c r="B43" s="22" t="s">
        <v>14</v>
      </c>
      <c r="C43" s="22" t="s">
        <v>15</v>
      </c>
      <c r="D43" s="17">
        <f>E43*$D$37*12</f>
        <v>25.19055488657454</v>
      </c>
      <c r="E43" s="17">
        <v>0.026605993754303482</v>
      </c>
      <c r="F43" s="21"/>
      <c r="G43" s="14"/>
    </row>
    <row r="44" spans="1:7" ht="15">
      <c r="A44" s="140" t="s">
        <v>295</v>
      </c>
      <c r="B44" s="143"/>
      <c r="C44" s="144"/>
      <c r="D44" s="23">
        <f>SUM(D45:D46)</f>
        <v>85.67563517824213</v>
      </c>
      <c r="E44" s="23">
        <f>SUM(E45:E46)</f>
        <v>0.09048968650004449</v>
      </c>
      <c r="F44" s="21"/>
      <c r="G44" s="14"/>
    </row>
    <row r="45" spans="1:7" ht="30">
      <c r="A45" s="15" t="s">
        <v>65</v>
      </c>
      <c r="B45" s="22" t="s">
        <v>17</v>
      </c>
      <c r="C45" s="22" t="s">
        <v>18</v>
      </c>
      <c r="D45" s="17">
        <f>E45*$D$37*12</f>
        <v>47.19022995124921</v>
      </c>
      <c r="E45" s="17">
        <v>0.049841814481674275</v>
      </c>
      <c r="F45" s="13"/>
      <c r="G45" s="14"/>
    </row>
    <row r="46" spans="1:7" ht="60">
      <c r="A46" s="15" t="s">
        <v>66</v>
      </c>
      <c r="B46" s="22" t="s">
        <v>311</v>
      </c>
      <c r="C46" s="22" t="s">
        <v>18</v>
      </c>
      <c r="D46" s="17">
        <f>E46*$D$37*12</f>
        <v>38.485405226992924</v>
      </c>
      <c r="E46" s="17">
        <v>0.04064787201837022</v>
      </c>
      <c r="F46" s="2"/>
      <c r="G46" s="14"/>
    </row>
    <row r="47" spans="1:7" ht="15">
      <c r="A47" s="145" t="s">
        <v>297</v>
      </c>
      <c r="B47" s="146"/>
      <c r="C47" s="146"/>
      <c r="D47" s="24">
        <f>SUM(D48:D49)</f>
        <v>284.56721760343396</v>
      </c>
      <c r="E47" s="24">
        <f>SUM(E48:E49)</f>
        <v>0.30055684157523654</v>
      </c>
      <c r="F47" s="2"/>
      <c r="G47" s="14"/>
    </row>
    <row r="48" spans="1:7" ht="60">
      <c r="A48" s="15" t="s">
        <v>68</v>
      </c>
      <c r="B48" s="22" t="s">
        <v>86</v>
      </c>
      <c r="C48" s="22" t="s">
        <v>18</v>
      </c>
      <c r="D48" s="17">
        <f>E48*$D$37*12</f>
        <v>13.176963154597564</v>
      </c>
      <c r="E48" s="17">
        <v>0.013917367083436378</v>
      </c>
      <c r="F48" s="2"/>
      <c r="G48" s="14"/>
    </row>
    <row r="49" spans="1:7" ht="60">
      <c r="A49" s="15" t="s">
        <v>69</v>
      </c>
      <c r="B49" s="22" t="s">
        <v>22</v>
      </c>
      <c r="C49" s="22" t="s">
        <v>87</v>
      </c>
      <c r="D49" s="17">
        <f>E49*$D$37*12</f>
        <v>271.3902544488364</v>
      </c>
      <c r="E49" s="20">
        <v>0.28663947449180016</v>
      </c>
      <c r="F49" s="2"/>
      <c r="G49" s="14"/>
    </row>
    <row r="50" spans="1:7" ht="15">
      <c r="A50" s="145" t="s">
        <v>298</v>
      </c>
      <c r="B50" s="145"/>
      <c r="C50" s="145"/>
      <c r="D50" s="25">
        <f>SUM(D51)</f>
        <v>170.6782482419458</v>
      </c>
      <c r="E50" s="25">
        <f>SUM(E51)</f>
        <v>0.180268534264835</v>
      </c>
      <c r="F50" s="2"/>
      <c r="G50" s="14"/>
    </row>
    <row r="51" spans="1:7" ht="15">
      <c r="A51" s="15" t="s">
        <v>71</v>
      </c>
      <c r="B51" s="22" t="s">
        <v>25</v>
      </c>
      <c r="C51" s="22" t="s">
        <v>26</v>
      </c>
      <c r="D51" s="17">
        <f>E51*$D$37*12</f>
        <v>170.6782482419458</v>
      </c>
      <c r="E51" s="26">
        <f>0.179268534264835+0.001</f>
        <v>0.180268534264835</v>
      </c>
      <c r="F51" s="2"/>
      <c r="G51" s="14"/>
    </row>
    <row r="52" spans="1:7" ht="15">
      <c r="A52" s="9"/>
      <c r="B52" s="27" t="s">
        <v>27</v>
      </c>
      <c r="C52" s="27"/>
      <c r="D52" s="48">
        <f>D41+D44+D47+D50</f>
        <v>836.9778374862666</v>
      </c>
      <c r="E52" s="12">
        <f>E41+E44+E47+E50</f>
        <v>0.8840070104417688</v>
      </c>
      <c r="F52" s="6"/>
      <c r="G52" s="14"/>
    </row>
    <row r="53" spans="1:6" ht="15">
      <c r="A53" s="29"/>
      <c r="B53" s="30"/>
      <c r="C53" s="31"/>
      <c r="D53" s="32"/>
      <c r="E53" s="33"/>
      <c r="F53" s="2"/>
    </row>
    <row r="54" spans="1:6" ht="15">
      <c r="A54" s="30"/>
      <c r="B54" s="30"/>
      <c r="C54" s="30"/>
      <c r="D54" s="30"/>
      <c r="E54" s="30"/>
      <c r="F54" s="29"/>
    </row>
    <row r="55" spans="1:6" ht="15">
      <c r="A55" s="29"/>
      <c r="B55" s="30"/>
      <c r="C55" s="42"/>
      <c r="D55" s="42"/>
      <c r="E55" s="42"/>
      <c r="F55" s="42"/>
    </row>
    <row r="56" spans="1:6" ht="29.25">
      <c r="A56" s="29"/>
      <c r="B56" s="30" t="s">
        <v>37</v>
      </c>
      <c r="C56" s="43">
        <f>D52</f>
        <v>836.9778374862666</v>
      </c>
      <c r="D56" s="43"/>
      <c r="E56" s="43"/>
      <c r="F56" s="42"/>
    </row>
    <row r="57" spans="1:6" ht="15">
      <c r="A57" s="29"/>
      <c r="B57" s="30" t="s">
        <v>38</v>
      </c>
      <c r="C57" s="44">
        <f>E52</f>
        <v>0.8840070104417688</v>
      </c>
      <c r="D57" s="42"/>
      <c r="E57" s="42"/>
      <c r="F57" s="42"/>
    </row>
    <row r="58" spans="1:6" ht="15">
      <c r="A58" s="29"/>
      <c r="B58" s="30"/>
      <c r="C58" s="44"/>
      <c r="D58" s="42"/>
      <c r="E58" s="42"/>
      <c r="F58" s="42"/>
    </row>
    <row r="59" spans="1:6" ht="45" customHeight="1">
      <c r="A59" s="2"/>
      <c r="B59" s="2"/>
      <c r="C59" s="2"/>
      <c r="D59" s="2"/>
      <c r="E59" s="2"/>
      <c r="F59" s="2"/>
    </row>
    <row r="60" spans="1:6" ht="36.75" customHeight="1">
      <c r="A60" s="138" t="s">
        <v>39</v>
      </c>
      <c r="B60" s="138"/>
      <c r="C60" s="138"/>
      <c r="D60" s="138"/>
      <c r="E60" s="138"/>
      <c r="F60" s="138"/>
    </row>
    <row r="61" spans="1:6" ht="15">
      <c r="A61" s="1"/>
      <c r="B61" s="1"/>
      <c r="C61" s="1"/>
      <c r="D61" s="2"/>
      <c r="E61" s="2"/>
      <c r="F61" s="2"/>
    </row>
    <row r="62" spans="1:6" ht="71.25">
      <c r="A62" s="8"/>
      <c r="B62" s="9" t="s">
        <v>4</v>
      </c>
      <c r="C62" s="9" t="s">
        <v>5</v>
      </c>
      <c r="D62" s="9" t="s">
        <v>6</v>
      </c>
      <c r="E62" s="9" t="s">
        <v>7</v>
      </c>
      <c r="F62" s="2"/>
    </row>
    <row r="63" spans="1:5" ht="32.25" customHeight="1">
      <c r="A63" s="139" t="s">
        <v>40</v>
      </c>
      <c r="B63" s="139"/>
      <c r="C63" s="139"/>
      <c r="D63" s="12">
        <f>+D64</f>
        <v>9.696</v>
      </c>
      <c r="E63" s="12">
        <f>+E64</f>
        <v>0.01</v>
      </c>
    </row>
    <row r="64" spans="1:5" ht="30">
      <c r="A64" s="15" t="s">
        <v>62</v>
      </c>
      <c r="B64" s="45" t="s">
        <v>41</v>
      </c>
      <c r="C64" s="45" t="s">
        <v>165</v>
      </c>
      <c r="D64" s="17">
        <f>E64*12*$D$2</f>
        <v>9.696</v>
      </c>
      <c r="E64" s="46">
        <v>0.01</v>
      </c>
    </row>
    <row r="65" spans="1:5" ht="31.5" customHeight="1">
      <c r="A65" s="139" t="s">
        <v>43</v>
      </c>
      <c r="B65" s="139"/>
      <c r="C65" s="139"/>
      <c r="D65" s="12">
        <f>D66+D67</f>
        <v>77.568</v>
      </c>
      <c r="E65" s="12">
        <f>E66+E67</f>
        <v>0.08</v>
      </c>
    </row>
    <row r="66" spans="1:5" ht="45">
      <c r="A66" s="15" t="s">
        <v>63</v>
      </c>
      <c r="B66" s="45" t="s">
        <v>44</v>
      </c>
      <c r="C66" s="45" t="s">
        <v>45</v>
      </c>
      <c r="D66" s="17">
        <f>E66*$D$2*12</f>
        <v>19.392</v>
      </c>
      <c r="E66" s="46">
        <v>0.02</v>
      </c>
    </row>
    <row r="67" spans="1:5" ht="30">
      <c r="A67" s="15" t="s">
        <v>65</v>
      </c>
      <c r="B67" s="47" t="s">
        <v>46</v>
      </c>
      <c r="C67" s="8" t="s">
        <v>165</v>
      </c>
      <c r="D67" s="17">
        <f>E67*$D$2*12</f>
        <v>58.176</v>
      </c>
      <c r="E67" s="18">
        <v>0.06</v>
      </c>
    </row>
    <row r="68" spans="1:6" ht="15">
      <c r="A68" s="9"/>
      <c r="B68" s="27" t="s">
        <v>27</v>
      </c>
      <c r="C68" s="27"/>
      <c r="D68" s="48">
        <f>D63+D65</f>
        <v>87.264</v>
      </c>
      <c r="E68" s="12">
        <f>E63+E65</f>
        <v>0.09</v>
      </c>
      <c r="F68" s="6"/>
    </row>
    <row r="69" spans="1:6" ht="15">
      <c r="A69" s="2"/>
      <c r="B69" s="2"/>
      <c r="C69" s="2"/>
      <c r="D69" s="2"/>
      <c r="E69" s="2"/>
      <c r="F69" s="2"/>
    </row>
    <row r="71" spans="2:3" ht="29.25">
      <c r="B71" s="30" t="s">
        <v>427</v>
      </c>
      <c r="C71" s="55">
        <f>C56+C22</f>
        <v>2427.5239606987057</v>
      </c>
    </row>
  </sheetData>
  <sheetProtection/>
  <mergeCells count="16">
    <mergeCell ref="A50:C50"/>
    <mergeCell ref="A60:F60"/>
    <mergeCell ref="A63:C63"/>
    <mergeCell ref="A65:C65"/>
    <mergeCell ref="A38:E38"/>
    <mergeCell ref="A41:C41"/>
    <mergeCell ref="A44:C44"/>
    <mergeCell ref="A47:C47"/>
    <mergeCell ref="A4:E4"/>
    <mergeCell ref="A26:F26"/>
    <mergeCell ref="A29:C29"/>
    <mergeCell ref="A31:C31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9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375" style="3" customWidth="1"/>
    <col min="7" max="16384" width="9.125" style="3" customWidth="1"/>
  </cols>
  <sheetData>
    <row r="1" ht="15">
      <c r="B1" s="59" t="s">
        <v>428</v>
      </c>
    </row>
    <row r="2" spans="1:6" ht="39" customHeight="1">
      <c r="A2" s="2"/>
      <c r="B2" s="1" t="s">
        <v>429</v>
      </c>
      <c r="C2" s="4"/>
      <c r="D2" s="5">
        <v>120.7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1332.2553140819005</v>
      </c>
      <c r="E7" s="12">
        <f>SUM(E8:E9)</f>
        <v>0.9198117330032453</v>
      </c>
      <c r="F7" s="19"/>
      <c r="G7" s="14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1218.897817092315</v>
      </c>
      <c r="E8" s="20">
        <v>0.8415477886580469</v>
      </c>
      <c r="F8" s="21"/>
      <c r="G8" s="14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113.35749698958534</v>
      </c>
      <c r="E9" s="17">
        <v>0.07826394434519839</v>
      </c>
      <c r="F9" s="21"/>
      <c r="G9" s="14"/>
    </row>
    <row r="10" spans="1:7" ht="15">
      <c r="A10" s="140" t="s">
        <v>64</v>
      </c>
      <c r="B10" s="143"/>
      <c r="C10" s="144"/>
      <c r="D10" s="23">
        <f>SUM(D11:D12)</f>
        <v>104.91833779173861</v>
      </c>
      <c r="E10" s="23">
        <f>SUM(E11:E12)</f>
        <v>0.07243740526908216</v>
      </c>
      <c r="F10" s="21"/>
      <c r="G10" s="14"/>
    </row>
    <row r="11" spans="1:7" ht="15.75" customHeight="1">
      <c r="A11" s="11">
        <v>3</v>
      </c>
      <c r="B11" s="22" t="s">
        <v>17</v>
      </c>
      <c r="C11" s="22" t="s">
        <v>18</v>
      </c>
      <c r="D11" s="17">
        <f>E11*$D$2*12</f>
        <v>47.19022995124931</v>
      </c>
      <c r="E11" s="20">
        <v>0.03258093755264382</v>
      </c>
      <c r="F11" s="21"/>
      <c r="G11" s="14"/>
    </row>
    <row r="12" spans="1:7" ht="60">
      <c r="A12" s="15">
        <v>4</v>
      </c>
      <c r="B12" s="22" t="s">
        <v>19</v>
      </c>
      <c r="C12" s="22" t="s">
        <v>18</v>
      </c>
      <c r="D12" s="17">
        <f>E12*12*$D$2</f>
        <v>57.7281078404893</v>
      </c>
      <c r="E12" s="17">
        <v>0.039856467716438346</v>
      </c>
      <c r="F12" s="2"/>
      <c r="G12" s="14"/>
    </row>
    <row r="13" spans="1:7" ht="15">
      <c r="A13" s="145" t="s">
        <v>67</v>
      </c>
      <c r="B13" s="146"/>
      <c r="C13" s="146"/>
      <c r="D13" s="24">
        <f>SUM(D14:D15)</f>
        <v>426.63921723476926</v>
      </c>
      <c r="E13" s="24">
        <f>SUM(E14:E15)</f>
        <v>0.29455897351199206</v>
      </c>
      <c r="F13" s="2"/>
      <c r="G13" s="14"/>
    </row>
    <row r="14" spans="1:7" ht="60">
      <c r="A14" s="15">
        <v>5</v>
      </c>
      <c r="B14" s="22" t="s">
        <v>86</v>
      </c>
      <c r="C14" s="22" t="s">
        <v>18</v>
      </c>
      <c r="D14" s="17">
        <f>E14*12*$D$2</f>
        <v>16.063368546622026</v>
      </c>
      <c r="E14" s="20">
        <v>0.011090422912608413</v>
      </c>
      <c r="F14" s="2"/>
      <c r="G14" s="14"/>
    </row>
    <row r="15" spans="1:7" ht="60">
      <c r="A15" s="15">
        <v>6</v>
      </c>
      <c r="B15" s="22" t="s">
        <v>22</v>
      </c>
      <c r="C15" s="22" t="s">
        <v>87</v>
      </c>
      <c r="D15" s="17">
        <f>E15*12*$D$2</f>
        <v>410.57584868814723</v>
      </c>
      <c r="E15" s="17">
        <v>0.28346855059938364</v>
      </c>
      <c r="F15" s="2"/>
      <c r="G15" s="14"/>
    </row>
    <row r="16" spans="1:7" ht="15">
      <c r="A16" s="145" t="s">
        <v>70</v>
      </c>
      <c r="B16" s="145"/>
      <c r="C16" s="145"/>
      <c r="D16" s="25">
        <f>SUM(D17)</f>
        <v>268.7571601631338</v>
      </c>
      <c r="E16" s="25">
        <f>SUM(E17)</f>
        <v>0.185554515439888</v>
      </c>
      <c r="F16" s="2"/>
      <c r="G16" s="14"/>
    </row>
    <row r="17" spans="1:7" ht="15">
      <c r="A17" s="15">
        <v>7</v>
      </c>
      <c r="B17" s="22" t="s">
        <v>25</v>
      </c>
      <c r="C17" s="22" t="s">
        <v>26</v>
      </c>
      <c r="D17" s="17">
        <f>E17*12*$D$2</f>
        <v>268.7571601631338</v>
      </c>
      <c r="E17" s="26">
        <v>0.185554515439888</v>
      </c>
      <c r="F17" s="2"/>
      <c r="G17" s="14"/>
    </row>
    <row r="18" spans="1:7" ht="15">
      <c r="A18" s="9"/>
      <c r="B18" s="27" t="s">
        <v>27</v>
      </c>
      <c r="C18" s="27"/>
      <c r="D18" s="12">
        <f>D7+D10+D13+D16</f>
        <v>2132.5700292715424</v>
      </c>
      <c r="E18" s="12">
        <f>E7+E10+E13+E16</f>
        <v>1.4723626272242076</v>
      </c>
      <c r="F18" s="6"/>
      <c r="G18" s="14"/>
    </row>
    <row r="19" spans="1:6" ht="15">
      <c r="A19" s="29"/>
      <c r="B19" s="30"/>
      <c r="C19" s="31"/>
      <c r="D19" s="128"/>
      <c r="E19" s="64"/>
      <c r="F19" s="2"/>
    </row>
    <row r="20" spans="1:6" ht="15">
      <c r="A20" s="29"/>
      <c r="B20" s="30"/>
      <c r="C20" s="31"/>
      <c r="D20" s="128"/>
      <c r="E20" s="64"/>
      <c r="F20" s="2"/>
    </row>
    <row r="21" spans="1:6" ht="29.25">
      <c r="A21" s="29"/>
      <c r="B21" s="30" t="s">
        <v>37</v>
      </c>
      <c r="C21" s="43">
        <f>D18</f>
        <v>2132.5700292715424</v>
      </c>
      <c r="D21" s="43"/>
      <c r="E21" s="43"/>
      <c r="F21" s="42"/>
    </row>
    <row r="22" spans="1:6" ht="15">
      <c r="A22" s="29"/>
      <c r="B22" s="30" t="s">
        <v>38</v>
      </c>
      <c r="C22" s="44">
        <f>E18</f>
        <v>1.4723626272242076</v>
      </c>
      <c r="D22" s="42"/>
      <c r="E22" s="42"/>
      <c r="F22" s="42"/>
    </row>
    <row r="23" spans="1:6" ht="15">
      <c r="A23" s="29"/>
      <c r="B23" s="30"/>
      <c r="C23" s="44"/>
      <c r="D23" s="42"/>
      <c r="E23" s="42"/>
      <c r="F23" s="42"/>
    </row>
    <row r="24" spans="1:6" ht="24" customHeight="1">
      <c r="A24" s="2"/>
      <c r="B24" s="2"/>
      <c r="C24" s="2"/>
      <c r="D24" s="2"/>
      <c r="E24" s="2"/>
      <c r="F24" s="2"/>
    </row>
    <row r="25" spans="1:6" ht="33" customHeight="1">
      <c r="A25" s="138" t="s">
        <v>39</v>
      </c>
      <c r="B25" s="138"/>
      <c r="C25" s="138"/>
      <c r="D25" s="138"/>
      <c r="E25" s="138"/>
      <c r="F25" s="138"/>
    </row>
    <row r="26" spans="1:6" ht="15">
      <c r="A26" s="1"/>
      <c r="B26" s="1"/>
      <c r="C26" s="1"/>
      <c r="D26" s="2"/>
      <c r="E26" s="2"/>
      <c r="F26" s="2"/>
    </row>
    <row r="27" spans="1:6" ht="71.25">
      <c r="A27" s="8"/>
      <c r="B27" s="9" t="s">
        <v>4</v>
      </c>
      <c r="C27" s="9" t="s">
        <v>5</v>
      </c>
      <c r="D27" s="9" t="s">
        <v>6</v>
      </c>
      <c r="E27" s="9" t="s">
        <v>7</v>
      </c>
      <c r="F27" s="2"/>
    </row>
    <row r="28" spans="1:5" ht="15">
      <c r="A28" s="139" t="s">
        <v>40</v>
      </c>
      <c r="B28" s="139"/>
      <c r="C28" s="139"/>
      <c r="D28" s="12">
        <f>D29</f>
        <v>14.484</v>
      </c>
      <c r="E28" s="12">
        <f>E29</f>
        <v>0.01</v>
      </c>
    </row>
    <row r="29" spans="1:5" ht="30">
      <c r="A29" s="15">
        <v>1</v>
      </c>
      <c r="B29" s="45" t="s">
        <v>41</v>
      </c>
      <c r="C29" s="45" t="s">
        <v>213</v>
      </c>
      <c r="D29" s="17">
        <f>E29*12*$D$2</f>
        <v>14.484</v>
      </c>
      <c r="E29" s="46">
        <v>0.01</v>
      </c>
    </row>
    <row r="30" spans="1:5" ht="32.25" customHeight="1">
      <c r="A30" s="139" t="s">
        <v>43</v>
      </c>
      <c r="B30" s="139"/>
      <c r="C30" s="139"/>
      <c r="D30" s="12">
        <f>D31+D32</f>
        <v>115.872</v>
      </c>
      <c r="E30" s="12">
        <f>E31+E32</f>
        <v>0.08</v>
      </c>
    </row>
    <row r="31" spans="1:5" ht="28.5" customHeight="1">
      <c r="A31" s="15">
        <v>2</v>
      </c>
      <c r="B31" s="45" t="s">
        <v>44</v>
      </c>
      <c r="C31" s="45" t="s">
        <v>45</v>
      </c>
      <c r="D31" s="17">
        <f>E31*$D$2*12</f>
        <v>28.968000000000004</v>
      </c>
      <c r="E31" s="46">
        <v>0.02</v>
      </c>
    </row>
    <row r="32" spans="1:5" ht="15">
      <c r="A32" s="15">
        <v>3</v>
      </c>
      <c r="B32" s="47" t="s">
        <v>46</v>
      </c>
      <c r="C32" s="8" t="s">
        <v>213</v>
      </c>
      <c r="D32" s="17">
        <f>E32*$D$2*12</f>
        <v>86.904</v>
      </c>
      <c r="E32" s="18">
        <v>0.06</v>
      </c>
    </row>
    <row r="33" spans="1:6" ht="15">
      <c r="A33" s="9"/>
      <c r="B33" s="27" t="s">
        <v>27</v>
      </c>
      <c r="C33" s="27"/>
      <c r="D33" s="48">
        <f>D28+D30</f>
        <v>130.356</v>
      </c>
      <c r="E33" s="12">
        <f>E28+E30</f>
        <v>0.09</v>
      </c>
      <c r="F33" s="6"/>
    </row>
    <row r="34" spans="1:6" ht="15">
      <c r="A34" s="2"/>
      <c r="B34" s="2"/>
      <c r="C34" s="2"/>
      <c r="D34" s="2"/>
      <c r="E34" s="2"/>
      <c r="F34" s="2"/>
    </row>
    <row r="36" spans="2:3" ht="29.25">
      <c r="B36" s="30" t="s">
        <v>430</v>
      </c>
      <c r="C36" s="132">
        <f>+C21</f>
        <v>2132.5700292715424</v>
      </c>
    </row>
  </sheetData>
  <sheetProtection/>
  <mergeCells count="8">
    <mergeCell ref="A25:F25"/>
    <mergeCell ref="A28:C28"/>
    <mergeCell ref="A30:C30"/>
    <mergeCell ref="A4:E4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52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431</v>
      </c>
    </row>
    <row r="2" spans="1:6" ht="39" customHeight="1">
      <c r="A2" s="2"/>
      <c r="B2" s="1" t="s">
        <v>438</v>
      </c>
      <c r="C2" s="4"/>
      <c r="D2" s="5">
        <v>89.7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592.1134729252894</v>
      </c>
      <c r="E7" s="12">
        <f>SUM(E8:E9)</f>
        <v>0.5500868384664525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541.7323631521404</v>
      </c>
      <c r="E8" s="20">
        <v>0.5032816454404871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50.38110977314909</v>
      </c>
      <c r="E9" s="17">
        <v>0.046805193025965336</v>
      </c>
      <c r="F9" s="21"/>
    </row>
    <row r="10" spans="1:6" ht="15">
      <c r="A10" s="140" t="s">
        <v>64</v>
      </c>
      <c r="B10" s="143"/>
      <c r="C10" s="144"/>
      <c r="D10" s="23">
        <f>SUM(D11:D12)</f>
        <v>104.91833779173851</v>
      </c>
      <c r="E10" s="23">
        <f>SUM(E11:E12)</f>
        <v>0.09747151411346944</v>
      </c>
      <c r="F10" s="21"/>
    </row>
    <row r="11" spans="1:6" ht="18.75" customHeight="1">
      <c r="A11" s="15">
        <v>3</v>
      </c>
      <c r="B11" s="22" t="s">
        <v>17</v>
      </c>
      <c r="C11" s="22" t="s">
        <v>18</v>
      </c>
      <c r="D11" s="17">
        <f>E11*12*$D$2</f>
        <v>47.190229951249215</v>
      </c>
      <c r="E11" s="18">
        <v>0.04384079334006802</v>
      </c>
      <c r="F11" s="13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57.7281078404893</v>
      </c>
      <c r="E12" s="17">
        <v>0.053630720773401426</v>
      </c>
      <c r="F12" s="2"/>
    </row>
    <row r="13" spans="1:6" ht="15">
      <c r="A13" s="145" t="s">
        <v>67</v>
      </c>
      <c r="B13" s="146"/>
      <c r="C13" s="146"/>
      <c r="D13" s="24">
        <f>SUM(D14:D15)</f>
        <v>380.59475874044836</v>
      </c>
      <c r="E13" s="24">
        <f>SUM(E14:E15)</f>
        <v>0.35358115825013786</v>
      </c>
      <c r="F13" s="2"/>
    </row>
    <row r="14" spans="1:6" ht="60">
      <c r="A14" s="15">
        <v>5</v>
      </c>
      <c r="B14" s="22" t="s">
        <v>86</v>
      </c>
      <c r="C14" s="22" t="s">
        <v>18</v>
      </c>
      <c r="D14" s="17">
        <f>E14*12*$D$2</f>
        <v>16.063368546622044</v>
      </c>
      <c r="E14" s="17">
        <v>0.014923233506709441</v>
      </c>
      <c r="F14" s="2"/>
    </row>
    <row r="15" spans="1:6" ht="60">
      <c r="A15" s="15">
        <v>6</v>
      </c>
      <c r="B15" s="22" t="s">
        <v>22</v>
      </c>
      <c r="C15" s="22" t="s">
        <v>87</v>
      </c>
      <c r="D15" s="17">
        <f>E15*12*$D$2</f>
        <v>364.5313901938263</v>
      </c>
      <c r="E15" s="20">
        <v>0.33865792474342843</v>
      </c>
      <c r="F15" s="2"/>
    </row>
    <row r="16" spans="1:6" ht="15">
      <c r="A16" s="145" t="s">
        <v>70</v>
      </c>
      <c r="B16" s="145"/>
      <c r="C16" s="145"/>
      <c r="D16" s="25">
        <f>SUM(D17)</f>
        <v>255.96405385422187</v>
      </c>
      <c r="E16" s="25">
        <f>SUM(E17)</f>
        <v>0.23779640826293375</v>
      </c>
      <c r="F16" s="2"/>
    </row>
    <row r="17" spans="1:6" ht="15.75" customHeight="1">
      <c r="A17" s="15">
        <v>7</v>
      </c>
      <c r="B17" s="22" t="s">
        <v>25</v>
      </c>
      <c r="C17" s="22" t="s">
        <v>26</v>
      </c>
      <c r="D17" s="17">
        <f>E17*12*$D$2</f>
        <v>255.96405385422187</v>
      </c>
      <c r="E17" s="26">
        <v>0.23779640826293375</v>
      </c>
      <c r="F17" s="2"/>
    </row>
    <row r="18" spans="1:6" ht="15">
      <c r="A18" s="9"/>
      <c r="B18" s="27" t="s">
        <v>27</v>
      </c>
      <c r="C18" s="27"/>
      <c r="D18" s="48">
        <f>D7+D10+D13+D16</f>
        <v>1333.5906233116982</v>
      </c>
      <c r="E18" s="12">
        <f>E7+E10+E13+E16</f>
        <v>1.2389359190929936</v>
      </c>
      <c r="F18" s="6"/>
    </row>
    <row r="19" spans="1:6" ht="15">
      <c r="A19" s="29"/>
      <c r="B19" s="30"/>
      <c r="C19" s="31"/>
      <c r="D19" s="128"/>
      <c r="E19" s="64"/>
      <c r="F19" s="2"/>
    </row>
    <row r="20" spans="1:6" ht="29.25">
      <c r="A20" s="29"/>
      <c r="B20" s="30" t="s">
        <v>37</v>
      </c>
      <c r="C20" s="43">
        <f>D18</f>
        <v>1333.5906233116982</v>
      </c>
      <c r="D20" s="43"/>
      <c r="E20" s="43"/>
      <c r="F20" s="42"/>
    </row>
    <row r="21" spans="1:6" ht="15">
      <c r="A21" s="29"/>
      <c r="B21" s="30" t="s">
        <v>38</v>
      </c>
      <c r="C21" s="44">
        <f>E18</f>
        <v>1.2389359190929936</v>
      </c>
      <c r="D21" s="42"/>
      <c r="E21" s="42"/>
      <c r="F21" s="42"/>
    </row>
    <row r="22" spans="1:6" ht="15">
      <c r="A22" s="29"/>
      <c r="B22" s="30"/>
      <c r="C22" s="44"/>
      <c r="D22" s="42"/>
      <c r="E22" s="42"/>
      <c r="F22" s="42"/>
    </row>
    <row r="23" spans="1:6" ht="15">
      <c r="A23" s="2"/>
      <c r="B23" s="2"/>
      <c r="C23" s="2"/>
      <c r="D23" s="2"/>
      <c r="E23" s="2"/>
      <c r="F23" s="2"/>
    </row>
    <row r="24" spans="1:6" ht="33" customHeight="1">
      <c r="A24" s="138" t="s">
        <v>39</v>
      </c>
      <c r="B24" s="138"/>
      <c r="C24" s="138"/>
      <c r="D24" s="138"/>
      <c r="E24" s="138"/>
      <c r="F24" s="138"/>
    </row>
    <row r="25" spans="1:6" ht="15">
      <c r="A25" s="1"/>
      <c r="B25" s="1"/>
      <c r="C25" s="1"/>
      <c r="D25" s="2"/>
      <c r="E25" s="2"/>
      <c r="F25" s="2"/>
    </row>
    <row r="26" spans="1:6" ht="71.25">
      <c r="A26" s="8"/>
      <c r="B26" s="9" t="s">
        <v>4</v>
      </c>
      <c r="C26" s="9" t="s">
        <v>5</v>
      </c>
      <c r="D26" s="9" t="s">
        <v>6</v>
      </c>
      <c r="E26" s="9" t="s">
        <v>7</v>
      </c>
      <c r="F26" s="2"/>
    </row>
    <row r="27" spans="1:5" ht="32.25" customHeight="1">
      <c r="A27" s="139" t="s">
        <v>40</v>
      </c>
      <c r="B27" s="139"/>
      <c r="C27" s="139"/>
      <c r="D27" s="12">
        <f>D28</f>
        <v>10.764</v>
      </c>
      <c r="E27" s="12">
        <f>E28</f>
        <v>0.01</v>
      </c>
    </row>
    <row r="28" spans="1:5" ht="30">
      <c r="A28" s="15">
        <v>1</v>
      </c>
      <c r="B28" s="45" t="s">
        <v>41</v>
      </c>
      <c r="C28" s="45" t="s">
        <v>213</v>
      </c>
      <c r="D28" s="17">
        <f>E28*12*$D$2</f>
        <v>10.764</v>
      </c>
      <c r="E28" s="46">
        <v>0.01</v>
      </c>
    </row>
    <row r="29" spans="1:5" ht="32.25" customHeight="1">
      <c r="A29" s="139" t="s">
        <v>43</v>
      </c>
      <c r="B29" s="139"/>
      <c r="C29" s="139"/>
      <c r="D29" s="12">
        <f>D30+D31</f>
        <v>86.112</v>
      </c>
      <c r="E29" s="12">
        <f>E30+E31</f>
        <v>0.08</v>
      </c>
    </row>
    <row r="30" spans="1:5" ht="28.5" customHeight="1">
      <c r="A30" s="15">
        <v>2</v>
      </c>
      <c r="B30" s="45" t="s">
        <v>44</v>
      </c>
      <c r="C30" s="45" t="s">
        <v>45</v>
      </c>
      <c r="D30" s="17">
        <f>E30*$D$2*12</f>
        <v>21.528</v>
      </c>
      <c r="E30" s="46">
        <v>0.02</v>
      </c>
    </row>
    <row r="31" spans="1:5" ht="15">
      <c r="A31" s="15">
        <v>3</v>
      </c>
      <c r="B31" s="47" t="s">
        <v>46</v>
      </c>
      <c r="C31" s="8" t="s">
        <v>213</v>
      </c>
      <c r="D31" s="17">
        <f>E31*$D$2*12</f>
        <v>64.584</v>
      </c>
      <c r="E31" s="18">
        <v>0.06</v>
      </c>
    </row>
    <row r="32" spans="1:6" ht="15">
      <c r="A32" s="9"/>
      <c r="B32" s="27" t="s">
        <v>27</v>
      </c>
      <c r="C32" s="27"/>
      <c r="D32" s="48">
        <f>D27+D29</f>
        <v>96.87599999999999</v>
      </c>
      <c r="E32" s="12">
        <f>E27+E29</f>
        <v>0.09</v>
      </c>
      <c r="F32" s="6"/>
    </row>
    <row r="33" spans="1:6" ht="15">
      <c r="A33" s="2"/>
      <c r="B33" s="2"/>
      <c r="C33" s="2"/>
      <c r="D33" s="2"/>
      <c r="E33" s="2"/>
      <c r="F33" s="2"/>
    </row>
    <row r="34" spans="1:6" ht="42" customHeight="1">
      <c r="A34" s="2"/>
      <c r="B34" s="1" t="s">
        <v>437</v>
      </c>
      <c r="C34" s="4"/>
      <c r="D34" s="5">
        <v>76.3</v>
      </c>
      <c r="E34" s="6" t="s">
        <v>2</v>
      </c>
      <c r="F34" s="2"/>
    </row>
    <row r="35" spans="1:6" ht="15">
      <c r="A35" s="2"/>
      <c r="B35" s="7"/>
      <c r="C35" s="2"/>
      <c r="D35" s="2"/>
      <c r="E35" s="2"/>
      <c r="F35" s="2"/>
    </row>
    <row r="36" spans="1:6" ht="30.75" customHeight="1">
      <c r="A36" s="138" t="s">
        <v>3</v>
      </c>
      <c r="B36" s="138"/>
      <c r="C36" s="138"/>
      <c r="D36" s="138"/>
      <c r="E36" s="138"/>
      <c r="F36" s="2"/>
    </row>
    <row r="37" spans="1:6" ht="15">
      <c r="A37" s="1"/>
      <c r="B37" s="1"/>
      <c r="C37" s="1"/>
      <c r="D37" s="1"/>
      <c r="E37" s="1"/>
      <c r="F37" s="2"/>
    </row>
    <row r="38" spans="1:6" ht="71.25">
      <c r="A38" s="8"/>
      <c r="B38" s="9" t="s">
        <v>4</v>
      </c>
      <c r="C38" s="9" t="s">
        <v>5</v>
      </c>
      <c r="D38" s="9" t="s">
        <v>6</v>
      </c>
      <c r="E38" s="9" t="s">
        <v>7</v>
      </c>
      <c r="F38" s="2"/>
    </row>
    <row r="39" spans="1:6" ht="15">
      <c r="A39" s="140" t="s">
        <v>61</v>
      </c>
      <c r="B39" s="141"/>
      <c r="C39" s="142"/>
      <c r="D39" s="12">
        <f>SUM(D40:D41)</f>
        <v>592.1134729252894</v>
      </c>
      <c r="E39" s="12">
        <f>SUM(E40:E41)</f>
        <v>0.6466944876859867</v>
      </c>
      <c r="F39" s="19"/>
    </row>
    <row r="40" spans="1:6" ht="15.75" customHeight="1">
      <c r="A40" s="15">
        <v>1</v>
      </c>
      <c r="B40" s="8" t="s">
        <v>12</v>
      </c>
      <c r="C40" s="16" t="s">
        <v>13</v>
      </c>
      <c r="D40" s="17">
        <f>E40*$D$34*12</f>
        <v>541.7323631521404</v>
      </c>
      <c r="E40" s="20">
        <v>0.5916692476541506</v>
      </c>
      <c r="F40" s="21"/>
    </row>
    <row r="41" spans="1:6" ht="30">
      <c r="A41" s="15">
        <v>2</v>
      </c>
      <c r="B41" s="22" t="s">
        <v>14</v>
      </c>
      <c r="C41" s="22" t="s">
        <v>15</v>
      </c>
      <c r="D41" s="17">
        <f>E41*$D$34*12</f>
        <v>50.38110977314906</v>
      </c>
      <c r="E41" s="17">
        <v>0.05502524003183603</v>
      </c>
      <c r="F41" s="21"/>
    </row>
    <row r="42" spans="1:6" ht="15">
      <c r="A42" s="140" t="s">
        <v>64</v>
      </c>
      <c r="B42" s="143"/>
      <c r="C42" s="144"/>
      <c r="D42" s="23">
        <f>SUM(D43:D44)</f>
        <v>85.6756351782421</v>
      </c>
      <c r="E42" s="23">
        <f>SUM(E43:E44)</f>
        <v>0.09357321448038675</v>
      </c>
      <c r="F42" s="21"/>
    </row>
    <row r="43" spans="1:6" ht="18.75" customHeight="1">
      <c r="A43" s="15">
        <v>3</v>
      </c>
      <c r="B43" s="22" t="s">
        <v>17</v>
      </c>
      <c r="C43" s="22" t="s">
        <v>18</v>
      </c>
      <c r="D43" s="17">
        <f>E43*12*$D$34</f>
        <v>47.190229951249236</v>
      </c>
      <c r="E43" s="18">
        <v>0.051540224935833594</v>
      </c>
      <c r="F43" s="13"/>
    </row>
    <row r="44" spans="1:6" ht="60">
      <c r="A44" s="15">
        <v>4</v>
      </c>
      <c r="B44" s="22" t="s">
        <v>19</v>
      </c>
      <c r="C44" s="22" t="s">
        <v>18</v>
      </c>
      <c r="D44" s="17">
        <f>E44*12*$D$34</f>
        <v>38.48540522699287</v>
      </c>
      <c r="E44" s="17">
        <v>0.04203298954455315</v>
      </c>
      <c r="F44" s="2"/>
    </row>
    <row r="45" spans="1:6" ht="15">
      <c r="A45" s="145" t="s">
        <v>67</v>
      </c>
      <c r="B45" s="146"/>
      <c r="C45" s="146"/>
      <c r="D45" s="24">
        <f>SUM(D46:D47)</f>
        <v>280.7054243103617</v>
      </c>
      <c r="E45" s="24">
        <f>SUM(E46:E47)</f>
        <v>0.3065808478706441</v>
      </c>
      <c r="F45" s="2"/>
    </row>
    <row r="46" spans="1:6" ht="60">
      <c r="A46" s="15">
        <v>5</v>
      </c>
      <c r="B46" s="22" t="s">
        <v>86</v>
      </c>
      <c r="C46" s="22" t="s">
        <v>18</v>
      </c>
      <c r="D46" s="17">
        <f>E46*12*$D$34</f>
        <v>13.17696315459757</v>
      </c>
      <c r="E46" s="17">
        <v>0.014391615503055451</v>
      </c>
      <c r="F46" s="2"/>
    </row>
    <row r="47" spans="1:6" ht="60">
      <c r="A47" s="15">
        <v>6</v>
      </c>
      <c r="B47" s="22" t="s">
        <v>22</v>
      </c>
      <c r="C47" s="22" t="s">
        <v>87</v>
      </c>
      <c r="D47" s="17">
        <f>E47*12*$D$34</f>
        <v>267.52846115576415</v>
      </c>
      <c r="E47" s="20">
        <v>0.29218923236758865</v>
      </c>
      <c r="F47" s="2"/>
    </row>
    <row r="48" spans="1:6" ht="15">
      <c r="A48" s="145" t="s">
        <v>70</v>
      </c>
      <c r="B48" s="145"/>
      <c r="C48" s="145"/>
      <c r="D48" s="25">
        <f>SUM(D49)</f>
        <v>169.5254719272021</v>
      </c>
      <c r="E48" s="25">
        <f>SUM(E49)</f>
        <v>0.18515232844823298</v>
      </c>
      <c r="F48" s="2"/>
    </row>
    <row r="49" spans="1:6" ht="15.75" customHeight="1">
      <c r="A49" s="15">
        <v>7</v>
      </c>
      <c r="B49" s="22" t="s">
        <v>25</v>
      </c>
      <c r="C49" s="22" t="s">
        <v>26</v>
      </c>
      <c r="D49" s="17">
        <f>E49*12*$D$34</f>
        <v>169.5254719272021</v>
      </c>
      <c r="E49" s="26">
        <v>0.18515232844823298</v>
      </c>
      <c r="F49" s="2"/>
    </row>
    <row r="50" spans="1:6" ht="15">
      <c r="A50" s="9"/>
      <c r="B50" s="27" t="s">
        <v>27</v>
      </c>
      <c r="C50" s="27"/>
      <c r="D50" s="48">
        <f>D39+D42+D45+D48</f>
        <v>1128.0200043410953</v>
      </c>
      <c r="E50" s="12">
        <f>E39+E42+E45+E48</f>
        <v>1.2320008784852505</v>
      </c>
      <c r="F50" s="6"/>
    </row>
    <row r="51" spans="1:6" ht="15">
      <c r="A51" s="29"/>
      <c r="B51" s="30"/>
      <c r="C51" s="31"/>
      <c r="D51" s="128"/>
      <c r="E51" s="64"/>
      <c r="F51" s="2"/>
    </row>
    <row r="52" spans="1:6" ht="15">
      <c r="A52" s="29"/>
      <c r="B52" s="30"/>
      <c r="C52" s="31"/>
      <c r="D52" s="128"/>
      <c r="E52" s="64"/>
      <c r="F52" s="2"/>
    </row>
    <row r="53" spans="1:6" ht="29.25">
      <c r="A53" s="29"/>
      <c r="B53" s="30" t="s">
        <v>37</v>
      </c>
      <c r="C53" s="43">
        <f>D50</f>
        <v>1128.0200043410953</v>
      </c>
      <c r="D53" s="43"/>
      <c r="E53" s="43"/>
      <c r="F53" s="42"/>
    </row>
    <row r="54" spans="1:6" ht="15">
      <c r="A54" s="29"/>
      <c r="B54" s="30" t="s">
        <v>38</v>
      </c>
      <c r="C54" s="44">
        <f>E50</f>
        <v>1.2320008784852505</v>
      </c>
      <c r="D54" s="42"/>
      <c r="E54" s="42"/>
      <c r="F54" s="42"/>
    </row>
    <row r="55" spans="1:6" ht="15">
      <c r="A55" s="29"/>
      <c r="B55" s="30"/>
      <c r="C55" s="44"/>
      <c r="D55" s="42"/>
      <c r="E55" s="42"/>
      <c r="F55" s="42"/>
    </row>
    <row r="56" spans="1:6" ht="97.5" customHeight="1">
      <c r="A56" s="2"/>
      <c r="B56" s="2"/>
      <c r="C56" s="2"/>
      <c r="D56" s="2"/>
      <c r="E56" s="2"/>
      <c r="F56" s="2"/>
    </row>
    <row r="57" spans="1:6" ht="33" customHeight="1">
      <c r="A57" s="138" t="s">
        <v>39</v>
      </c>
      <c r="B57" s="138"/>
      <c r="C57" s="138"/>
      <c r="D57" s="138"/>
      <c r="E57" s="138"/>
      <c r="F57" s="138"/>
    </row>
    <row r="58" spans="1:6" ht="15">
      <c r="A58" s="1"/>
      <c r="B58" s="1"/>
      <c r="C58" s="1"/>
      <c r="D58" s="2"/>
      <c r="E58" s="2"/>
      <c r="F58" s="2"/>
    </row>
    <row r="59" spans="1:6" ht="71.25">
      <c r="A59" s="8"/>
      <c r="B59" s="9" t="s">
        <v>4</v>
      </c>
      <c r="C59" s="9" t="s">
        <v>5</v>
      </c>
      <c r="D59" s="9" t="s">
        <v>6</v>
      </c>
      <c r="E59" s="9" t="s">
        <v>7</v>
      </c>
      <c r="F59" s="2"/>
    </row>
    <row r="60" spans="1:5" ht="33.75" customHeight="1">
      <c r="A60" s="139" t="s">
        <v>40</v>
      </c>
      <c r="B60" s="139"/>
      <c r="C60" s="139"/>
      <c r="D60" s="12">
        <f>D61</f>
        <v>9.155999999999999</v>
      </c>
      <c r="E60" s="12">
        <f>E61</f>
        <v>0.01</v>
      </c>
    </row>
    <row r="61" spans="1:5" ht="30">
      <c r="A61" s="15">
        <v>1</v>
      </c>
      <c r="B61" s="45" t="s">
        <v>41</v>
      </c>
      <c r="C61" s="45" t="s">
        <v>213</v>
      </c>
      <c r="D61" s="17">
        <f>E61*12*$D$34</f>
        <v>9.155999999999999</v>
      </c>
      <c r="E61" s="46">
        <v>0.01</v>
      </c>
    </row>
    <row r="62" spans="1:5" ht="32.25" customHeight="1">
      <c r="A62" s="139" t="s">
        <v>43</v>
      </c>
      <c r="B62" s="139"/>
      <c r="C62" s="139"/>
      <c r="D62" s="12">
        <f>D63+D64</f>
        <v>73.24799999999999</v>
      </c>
      <c r="E62" s="12">
        <f>E63+E64</f>
        <v>0.08</v>
      </c>
    </row>
    <row r="63" spans="1:5" ht="28.5" customHeight="1">
      <c r="A63" s="15">
        <v>2</v>
      </c>
      <c r="B63" s="45" t="s">
        <v>44</v>
      </c>
      <c r="C63" s="45" t="s">
        <v>45</v>
      </c>
      <c r="D63" s="17">
        <f>E63*$D$34*12</f>
        <v>18.312</v>
      </c>
      <c r="E63" s="46">
        <v>0.02</v>
      </c>
    </row>
    <row r="64" spans="1:5" ht="15">
      <c r="A64" s="15">
        <v>3</v>
      </c>
      <c r="B64" s="47" t="s">
        <v>46</v>
      </c>
      <c r="C64" s="8" t="s">
        <v>213</v>
      </c>
      <c r="D64" s="17">
        <f>E64*$D$34*12</f>
        <v>54.93599999999999</v>
      </c>
      <c r="E64" s="18">
        <v>0.06</v>
      </c>
    </row>
    <row r="65" spans="1:6" ht="15">
      <c r="A65" s="9"/>
      <c r="B65" s="27" t="s">
        <v>27</v>
      </c>
      <c r="C65" s="27"/>
      <c r="D65" s="48">
        <f>D60+D62</f>
        <v>82.404</v>
      </c>
      <c r="E65" s="12">
        <f>E60+E62</f>
        <v>0.09</v>
      </c>
      <c r="F65" s="6"/>
    </row>
    <row r="66" spans="1:6" ht="15">
      <c r="A66" s="2"/>
      <c r="B66" s="2"/>
      <c r="C66" s="2"/>
      <c r="D66" s="2"/>
      <c r="E66" s="2"/>
      <c r="F66" s="2"/>
    </row>
    <row r="67" spans="2:3" ht="29.25">
      <c r="B67" s="30" t="s">
        <v>432</v>
      </c>
      <c r="C67" s="43">
        <f>C20+C53</f>
        <v>2461.6106276527935</v>
      </c>
    </row>
  </sheetData>
  <sheetProtection/>
  <mergeCells count="16">
    <mergeCell ref="A4:E4"/>
    <mergeCell ref="A39:C39"/>
    <mergeCell ref="A42:C42"/>
    <mergeCell ref="A45:C45"/>
    <mergeCell ref="A24:F24"/>
    <mergeCell ref="A27:C27"/>
    <mergeCell ref="A29:C29"/>
    <mergeCell ref="A36:E36"/>
    <mergeCell ref="A7:C7"/>
    <mergeCell ref="A10:C10"/>
    <mergeCell ref="A60:C60"/>
    <mergeCell ref="A62:C62"/>
    <mergeCell ref="A13:C13"/>
    <mergeCell ref="A16:C16"/>
    <mergeCell ref="A48:C48"/>
    <mergeCell ref="A57:F57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2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C1" s="93" t="s">
        <v>332</v>
      </c>
    </row>
    <row r="2" spans="1:6" ht="28.5" customHeight="1">
      <c r="A2" s="2"/>
      <c r="B2" s="1" t="s">
        <v>333</v>
      </c>
      <c r="C2" s="4"/>
      <c r="D2" s="5">
        <v>34.2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6.75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30.75" customHeight="1">
      <c r="A7" s="145" t="s">
        <v>8</v>
      </c>
      <c r="B7" s="146"/>
      <c r="C7" s="146"/>
      <c r="D7" s="12">
        <f>SUM(D8:D10)</f>
        <v>789.4224764692871</v>
      </c>
      <c r="E7" s="12">
        <f>SUM(E8:E10)</f>
        <v>1.9235440459777948</v>
      </c>
      <c r="F7" s="13"/>
      <c r="G7" s="14"/>
    </row>
    <row r="8" spans="1:7" ht="15.75" customHeight="1">
      <c r="A8" s="15">
        <v>1</v>
      </c>
      <c r="B8" s="8" t="s">
        <v>146</v>
      </c>
      <c r="C8" s="16" t="s">
        <v>147</v>
      </c>
      <c r="D8" s="17">
        <f>E8*$D$2*12</f>
        <v>209.94648473432767</v>
      </c>
      <c r="E8" s="17">
        <v>0.5115655086119095</v>
      </c>
      <c r="F8" s="2"/>
      <c r="G8" s="14"/>
    </row>
    <row r="9" spans="1:7" ht="15.75" customHeight="1">
      <c r="A9" s="15">
        <v>2</v>
      </c>
      <c r="B9" s="8" t="s">
        <v>9</v>
      </c>
      <c r="C9" s="16" t="s">
        <v>10</v>
      </c>
      <c r="D9" s="17">
        <f>E9*$D$2*12</f>
        <v>521.7272931532349</v>
      </c>
      <c r="E9" s="17">
        <v>1.271265334194042</v>
      </c>
      <c r="F9" s="2"/>
      <c r="G9" s="14"/>
    </row>
    <row r="10" spans="1:7" ht="15.75" customHeight="1">
      <c r="A10" s="15">
        <v>3</v>
      </c>
      <c r="B10" s="22" t="s">
        <v>150</v>
      </c>
      <c r="C10" s="22" t="s">
        <v>18</v>
      </c>
      <c r="D10" s="17">
        <f>E10*$D$2*12</f>
        <v>57.7486985817245</v>
      </c>
      <c r="E10" s="17">
        <v>0.1407132031718433</v>
      </c>
      <c r="F10" s="21"/>
      <c r="G10" s="14"/>
    </row>
    <row r="11" spans="1:7" ht="15">
      <c r="A11" s="140" t="s">
        <v>64</v>
      </c>
      <c r="B11" s="143"/>
      <c r="C11" s="144"/>
      <c r="D11" s="23">
        <f>SUM(D12:D13)</f>
        <v>21.241723649065634</v>
      </c>
      <c r="E11" s="23">
        <f>SUM(E12:E13)</f>
        <v>0.051758585889536135</v>
      </c>
      <c r="F11" s="21"/>
      <c r="G11" s="14"/>
    </row>
    <row r="12" spans="1:7" ht="18.75" customHeight="1">
      <c r="A12" s="15">
        <v>4</v>
      </c>
      <c r="B12" s="22" t="s">
        <v>17</v>
      </c>
      <c r="C12" s="22" t="s">
        <v>18</v>
      </c>
      <c r="D12" s="17">
        <f>E12*12*$D$2</f>
        <v>11.211572520546877</v>
      </c>
      <c r="E12" s="17">
        <v>0.027318646492560612</v>
      </c>
      <c r="F12" s="13"/>
      <c r="G12" s="14"/>
    </row>
    <row r="13" spans="1:7" ht="60">
      <c r="A13" s="15">
        <v>5</v>
      </c>
      <c r="B13" s="22" t="s">
        <v>311</v>
      </c>
      <c r="C13" s="22" t="s">
        <v>18</v>
      </c>
      <c r="D13" s="17">
        <f>E13*12*$D$2</f>
        <v>10.030151128518755</v>
      </c>
      <c r="E13" s="17">
        <v>0.024439939396975523</v>
      </c>
      <c r="F13" s="2"/>
      <c r="G13" s="14"/>
    </row>
    <row r="14" spans="1:7" ht="15">
      <c r="A14" s="145" t="s">
        <v>67</v>
      </c>
      <c r="B14" s="146"/>
      <c r="C14" s="146"/>
      <c r="D14" s="24">
        <f>SUM(D15:D16)</f>
        <v>354.40735828709035</v>
      </c>
      <c r="E14" s="24">
        <f>SUM(E15:E16)</f>
        <v>0.8635656878340406</v>
      </c>
      <c r="F14" s="2"/>
      <c r="G14" s="14"/>
    </row>
    <row r="15" spans="1:7" ht="75">
      <c r="A15" s="15">
        <v>6</v>
      </c>
      <c r="B15" s="22" t="s">
        <v>98</v>
      </c>
      <c r="C15" s="22" t="s">
        <v>18</v>
      </c>
      <c r="D15" s="17">
        <f>E15*12*$D$2</f>
        <v>21.429911635672486</v>
      </c>
      <c r="E15" s="17">
        <v>0.052217133615186366</v>
      </c>
      <c r="F15" s="2"/>
      <c r="G15" s="14"/>
    </row>
    <row r="16" spans="1:7" ht="90">
      <c r="A16" s="15">
        <v>7</v>
      </c>
      <c r="B16" s="22" t="s">
        <v>22</v>
      </c>
      <c r="C16" s="22" t="s">
        <v>334</v>
      </c>
      <c r="D16" s="17">
        <f>E16*12*$D$2</f>
        <v>332.97744665141784</v>
      </c>
      <c r="E16" s="20">
        <v>0.8113485542188543</v>
      </c>
      <c r="F16" s="2"/>
      <c r="G16" s="14"/>
    </row>
    <row r="17" spans="1:7" ht="15">
      <c r="A17" s="145" t="s">
        <v>70</v>
      </c>
      <c r="B17" s="145"/>
      <c r="C17" s="145"/>
      <c r="D17" s="25">
        <f>SUM(D18)</f>
        <v>241.16399999999985</v>
      </c>
      <c r="E17" s="25">
        <f>SUM(E18)</f>
        <v>0.587631578947368</v>
      </c>
      <c r="F17" s="2"/>
      <c r="G17" s="14"/>
    </row>
    <row r="18" spans="1:7" ht="15">
      <c r="A18" s="15">
        <v>8</v>
      </c>
      <c r="B18" s="22" t="s">
        <v>25</v>
      </c>
      <c r="C18" s="22" t="s">
        <v>26</v>
      </c>
      <c r="D18" s="17">
        <f>E18*12*$D$2</f>
        <v>241.16399999999985</v>
      </c>
      <c r="E18" s="26">
        <v>0.587631578947368</v>
      </c>
      <c r="F18" s="2"/>
      <c r="G18" s="14"/>
    </row>
    <row r="19" spans="1:7" ht="15">
      <c r="A19" s="145" t="s">
        <v>299</v>
      </c>
      <c r="B19" s="145"/>
      <c r="C19" s="145"/>
      <c r="D19" s="25">
        <f>SUM(D20:D20)</f>
        <v>4.976049832140945</v>
      </c>
      <c r="E19" s="25">
        <f>SUM(E20:E20)</f>
        <v>0.012124877758628031</v>
      </c>
      <c r="F19" s="2"/>
      <c r="G19" s="14"/>
    </row>
    <row r="20" spans="1:7" ht="30">
      <c r="A20" s="15">
        <v>9</v>
      </c>
      <c r="B20" s="22" t="s">
        <v>152</v>
      </c>
      <c r="C20" s="22" t="s">
        <v>15</v>
      </c>
      <c r="D20" s="17">
        <f>E20*12*$D$2</f>
        <v>4.976049832140945</v>
      </c>
      <c r="E20" s="20">
        <v>0.012124877758628031</v>
      </c>
      <c r="F20" s="2"/>
      <c r="G20" s="14"/>
    </row>
    <row r="21" spans="1:7" ht="15">
      <c r="A21" s="9"/>
      <c r="B21" s="27" t="s">
        <v>27</v>
      </c>
      <c r="C21" s="27"/>
      <c r="D21" s="48">
        <f>+D7+D11+D14+D17+D19</f>
        <v>1411.2116082375837</v>
      </c>
      <c r="E21" s="12">
        <f>+E7+E11+E14+E17+E19</f>
        <v>3.4386247764073676</v>
      </c>
      <c r="F21" s="6"/>
      <c r="G21" s="14"/>
    </row>
    <row r="22" spans="1:6" ht="6.75" customHeight="1">
      <c r="A22" s="29"/>
      <c r="B22" s="30"/>
      <c r="C22" s="31"/>
      <c r="D22" s="128"/>
      <c r="E22" s="64"/>
      <c r="F22" s="2"/>
    </row>
    <row r="23" spans="1:6" ht="6.75" customHeight="1">
      <c r="A23" s="34"/>
      <c r="B23" s="34"/>
      <c r="C23" s="34"/>
      <c r="D23" s="34"/>
      <c r="E23" s="34"/>
      <c r="F23" s="35"/>
    </row>
    <row r="24" spans="1:6" ht="105">
      <c r="A24" s="11" t="s">
        <v>28</v>
      </c>
      <c r="B24" s="11" t="s">
        <v>29</v>
      </c>
      <c r="C24" s="11" t="s">
        <v>30</v>
      </c>
      <c r="D24" s="11" t="s">
        <v>31</v>
      </c>
      <c r="E24" s="11" t="s">
        <v>32</v>
      </c>
      <c r="F24" s="11" t="s">
        <v>33</v>
      </c>
    </row>
    <row r="25" spans="1:6" ht="15">
      <c r="A25" s="11">
        <v>1</v>
      </c>
      <c r="B25" s="124" t="s">
        <v>335</v>
      </c>
      <c r="C25" s="11" t="s">
        <v>336</v>
      </c>
      <c r="D25" s="104">
        <v>895.5</v>
      </c>
      <c r="E25" s="37">
        <f>D25/12/$D$2</f>
        <v>2.182017543859649</v>
      </c>
      <c r="F25" s="11">
        <v>2</v>
      </c>
    </row>
    <row r="26" spans="1:6" ht="15">
      <c r="A26" s="11"/>
      <c r="B26" s="39" t="s">
        <v>36</v>
      </c>
      <c r="C26" s="10"/>
      <c r="D26" s="54">
        <f>SUM(D25:D25)</f>
        <v>895.5</v>
      </c>
      <c r="E26" s="40">
        <f>SUM(E25:E25)</f>
        <v>2.182017543859649</v>
      </c>
      <c r="F26" s="41"/>
    </row>
    <row r="27" spans="1:6" ht="11.25" customHeight="1">
      <c r="A27" s="29"/>
      <c r="B27" s="30"/>
      <c r="C27" s="42"/>
      <c r="D27" s="42"/>
      <c r="E27" s="42"/>
      <c r="F27" s="42"/>
    </row>
    <row r="28" spans="1:6" ht="29.25">
      <c r="A28" s="29"/>
      <c r="B28" s="30" t="s">
        <v>37</v>
      </c>
      <c r="C28" s="43">
        <f>D21+D26</f>
        <v>2306.7116082375837</v>
      </c>
      <c r="D28" s="43"/>
      <c r="E28" s="43"/>
      <c r="F28" s="42"/>
    </row>
    <row r="29" spans="1:6" ht="15">
      <c r="A29" s="29"/>
      <c r="B29" s="30" t="s">
        <v>38</v>
      </c>
      <c r="C29" s="44">
        <f>E21+E26</f>
        <v>5.620642320267017</v>
      </c>
      <c r="D29" s="42"/>
      <c r="E29" s="42"/>
      <c r="F29" s="42"/>
    </row>
    <row r="30" spans="1:6" ht="3" customHeight="1">
      <c r="A30" s="29"/>
      <c r="B30" s="30"/>
      <c r="C30" s="44"/>
      <c r="D30" s="42"/>
      <c r="E30" s="42"/>
      <c r="F30" s="42"/>
    </row>
    <row r="31" spans="1:6" ht="15">
      <c r="A31" s="2"/>
      <c r="B31" s="2"/>
      <c r="C31" s="2"/>
      <c r="D31" s="2"/>
      <c r="E31" s="2"/>
      <c r="F31" s="2"/>
    </row>
    <row r="32" spans="1:6" ht="33" customHeight="1">
      <c r="A32" s="138" t="s">
        <v>39</v>
      </c>
      <c r="B32" s="138"/>
      <c r="C32" s="138"/>
      <c r="D32" s="138"/>
      <c r="E32" s="138"/>
      <c r="F32" s="138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4</v>
      </c>
      <c r="C34" s="9" t="s">
        <v>5</v>
      </c>
      <c r="D34" s="9" t="s">
        <v>6</v>
      </c>
      <c r="E34" s="9" t="s">
        <v>7</v>
      </c>
      <c r="F34" s="2"/>
    </row>
    <row r="35" spans="1:5" ht="15">
      <c r="A35" s="139" t="s">
        <v>40</v>
      </c>
      <c r="B35" s="139"/>
      <c r="C35" s="139"/>
      <c r="D35" s="12">
        <f>+D36</f>
        <v>4.104</v>
      </c>
      <c r="E35" s="12">
        <f>+E36</f>
        <v>0.01</v>
      </c>
    </row>
    <row r="36" spans="1:5" ht="30">
      <c r="A36" s="15">
        <v>1</v>
      </c>
      <c r="B36" s="45" t="s">
        <v>41</v>
      </c>
      <c r="C36" s="45" t="s">
        <v>213</v>
      </c>
      <c r="D36" s="17">
        <f>E36*12*$D$2</f>
        <v>4.104</v>
      </c>
      <c r="E36" s="46">
        <v>0.01</v>
      </c>
    </row>
    <row r="37" spans="1:5" ht="32.25" customHeight="1">
      <c r="A37" s="139" t="s">
        <v>43</v>
      </c>
      <c r="B37" s="139"/>
      <c r="C37" s="139"/>
      <c r="D37" s="12">
        <f>D38+D39+D40</f>
        <v>123.12</v>
      </c>
      <c r="E37" s="12">
        <f>E38+E39+E40</f>
        <v>0.3</v>
      </c>
    </row>
    <row r="38" spans="1:5" ht="47.25" customHeight="1">
      <c r="A38" s="15">
        <v>2</v>
      </c>
      <c r="B38" s="45" t="s">
        <v>44</v>
      </c>
      <c r="C38" s="45" t="s">
        <v>45</v>
      </c>
      <c r="D38" s="17">
        <f>E38*$D$2*12</f>
        <v>8.208</v>
      </c>
      <c r="E38" s="46">
        <v>0.02</v>
      </c>
    </row>
    <row r="39" spans="1:5" ht="30">
      <c r="A39" s="15">
        <v>3</v>
      </c>
      <c r="B39" s="87" t="s">
        <v>153</v>
      </c>
      <c r="C39" s="87" t="s">
        <v>10</v>
      </c>
      <c r="D39" s="17">
        <f>E39*$D$2*12</f>
        <v>90.28800000000001</v>
      </c>
      <c r="E39" s="46">
        <v>0.22</v>
      </c>
    </row>
    <row r="40" spans="1:5" ht="15">
      <c r="A40" s="15">
        <v>4</v>
      </c>
      <c r="B40" s="47" t="s">
        <v>46</v>
      </c>
      <c r="C40" s="8" t="s">
        <v>42</v>
      </c>
      <c r="D40" s="17">
        <f>E40*$D$2*12</f>
        <v>24.624000000000002</v>
      </c>
      <c r="E40" s="18">
        <v>0.06</v>
      </c>
    </row>
    <row r="41" spans="1:6" ht="15">
      <c r="A41" s="9"/>
      <c r="B41" s="27" t="s">
        <v>27</v>
      </c>
      <c r="C41" s="27"/>
      <c r="D41" s="48">
        <f>D35+D37</f>
        <v>127.224</v>
      </c>
      <c r="E41" s="12">
        <f>E35+E37</f>
        <v>0.31</v>
      </c>
      <c r="F41" s="6"/>
    </row>
    <row r="42" spans="1:6" ht="15">
      <c r="A42" s="2"/>
      <c r="B42" s="2"/>
      <c r="C42" s="2"/>
      <c r="D42" s="2"/>
      <c r="E42" s="2"/>
      <c r="F42" s="2"/>
    </row>
    <row r="43" spans="2:3" ht="29.25">
      <c r="B43" s="30" t="s">
        <v>337</v>
      </c>
      <c r="C43" s="43">
        <v>2306.7116082375837</v>
      </c>
    </row>
  </sheetData>
  <sheetProtection/>
  <mergeCells count="9">
    <mergeCell ref="A35:C35"/>
    <mergeCell ref="A37:C37"/>
    <mergeCell ref="A11:C11"/>
    <mergeCell ref="A14:C14"/>
    <mergeCell ref="A17:C17"/>
    <mergeCell ref="A4:E4"/>
    <mergeCell ref="A7:C7"/>
    <mergeCell ref="A19:C19"/>
    <mergeCell ref="A32:F32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 topLeftCell="A19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260</v>
      </c>
    </row>
    <row r="2" spans="1:6" ht="15" customHeight="1">
      <c r="A2" s="2"/>
      <c r="B2" s="1" t="s">
        <v>261</v>
      </c>
      <c r="C2" s="4"/>
      <c r="D2" s="5">
        <v>80.8</v>
      </c>
      <c r="E2" s="6" t="s">
        <v>2</v>
      </c>
      <c r="F2" s="2"/>
    </row>
    <row r="3" spans="1:6" ht="6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9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888.1702093879339</v>
      </c>
      <c r="E7" s="12">
        <f>SUM(E8:E9)</f>
        <v>0.9160171301443213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812.5985447282103</v>
      </c>
      <c r="E8" s="60">
        <v>0.8380760568566525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75.57166465972358</v>
      </c>
      <c r="E9" s="60">
        <v>0.07794107328766871</v>
      </c>
      <c r="F9" s="21"/>
    </row>
    <row r="10" spans="1:6" ht="14.25" customHeight="1">
      <c r="A10" s="140" t="s">
        <v>64</v>
      </c>
      <c r="B10" s="143"/>
      <c r="C10" s="144"/>
      <c r="D10" s="23">
        <f>SUM(D11:D12)</f>
        <v>85.67563517824212</v>
      </c>
      <c r="E10" s="23">
        <f>SUM(E11:E12)</f>
        <v>0.08836183496105829</v>
      </c>
      <c r="F10" s="21"/>
    </row>
    <row r="11" spans="1:6" ht="29.25" customHeight="1">
      <c r="A11" s="15">
        <v>3</v>
      </c>
      <c r="B11" s="22" t="s">
        <v>17</v>
      </c>
      <c r="C11" s="22" t="s">
        <v>18</v>
      </c>
      <c r="D11" s="17">
        <f>E11*12*$D$2</f>
        <v>47.190229951249215</v>
      </c>
      <c r="E11" s="60">
        <v>0.048669791616387396</v>
      </c>
      <c r="F11" s="13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38.485405226992896</v>
      </c>
      <c r="E12" s="60">
        <v>0.03969204334467089</v>
      </c>
      <c r="F12" s="2"/>
    </row>
    <row r="13" spans="1:9" ht="15">
      <c r="A13" s="145" t="s">
        <v>67</v>
      </c>
      <c r="B13" s="146"/>
      <c r="C13" s="146"/>
      <c r="D13" s="24">
        <f>SUM(D14:D15)</f>
        <v>287.38929731760186</v>
      </c>
      <c r="E13" s="24">
        <f>SUM(E14:E15)</f>
        <v>0.29639985284406134</v>
      </c>
      <c r="F13" s="2"/>
      <c r="H13" s="99"/>
      <c r="I13" s="65"/>
    </row>
    <row r="14" spans="1:9" ht="60">
      <c r="A14" s="15">
        <v>5</v>
      </c>
      <c r="B14" s="22" t="s">
        <v>86</v>
      </c>
      <c r="C14" s="22" t="s">
        <v>18</v>
      </c>
      <c r="D14" s="17">
        <f>E14*12*$D$2</f>
        <v>13.17696315459757</v>
      </c>
      <c r="E14" s="60">
        <v>0.013590102263405084</v>
      </c>
      <c r="F14" s="2"/>
      <c r="G14" s="99"/>
      <c r="H14" s="99"/>
      <c r="I14" s="64"/>
    </row>
    <row r="15" spans="1:9" ht="60">
      <c r="A15" s="15">
        <v>6</v>
      </c>
      <c r="B15" s="22" t="s">
        <v>22</v>
      </c>
      <c r="C15" s="22" t="s">
        <v>122</v>
      </c>
      <c r="D15" s="17">
        <f>E15*12*$D$2</f>
        <v>274.2123341630043</v>
      </c>
      <c r="E15" s="60">
        <v>0.28280975058065627</v>
      </c>
      <c r="F15" s="2"/>
      <c r="G15" s="99"/>
      <c r="H15" s="99"/>
      <c r="I15" s="64"/>
    </row>
    <row r="16" spans="1:6" ht="15">
      <c r="A16" s="145" t="s">
        <v>70</v>
      </c>
      <c r="B16" s="145"/>
      <c r="C16" s="145"/>
      <c r="D16" s="25">
        <f>SUM(D17)</f>
        <v>189.25891533245726</v>
      </c>
      <c r="E16" s="23">
        <f>SUM(E17)</f>
        <v>0.195192775714168</v>
      </c>
      <c r="F16" s="2"/>
    </row>
    <row r="17" spans="1:9" ht="15">
      <c r="A17" s="15">
        <v>7</v>
      </c>
      <c r="B17" s="22" t="s">
        <v>25</v>
      </c>
      <c r="C17" s="22" t="s">
        <v>26</v>
      </c>
      <c r="D17" s="17">
        <f>E17*12*$D$2</f>
        <v>189.25891533245726</v>
      </c>
      <c r="E17" s="60">
        <f>0.184592775714168+0.0106</f>
        <v>0.195192775714168</v>
      </c>
      <c r="F17" s="2"/>
      <c r="G17" s="114"/>
      <c r="H17" s="99"/>
      <c r="I17" s="80"/>
    </row>
    <row r="18" spans="1:6" ht="15">
      <c r="A18" s="9"/>
      <c r="B18" s="27" t="s">
        <v>27</v>
      </c>
      <c r="C18" s="27"/>
      <c r="D18" s="74">
        <f>D7+D10+D13+D16</f>
        <v>1450.4940572162352</v>
      </c>
      <c r="E18" s="12">
        <f>E7+E10+E13+E16</f>
        <v>1.4959715936636089</v>
      </c>
      <c r="F18" s="6"/>
    </row>
    <row r="19" spans="1:6" ht="11.25" customHeight="1">
      <c r="A19" s="29"/>
      <c r="B19" s="30"/>
      <c r="C19" s="31"/>
      <c r="D19" s="32"/>
      <c r="E19" s="33"/>
      <c r="F19" s="2"/>
    </row>
    <row r="20" spans="1:6" ht="29.25">
      <c r="A20" s="29"/>
      <c r="B20" s="30" t="s">
        <v>37</v>
      </c>
      <c r="C20" s="43">
        <f>D18</f>
        <v>1450.4940572162352</v>
      </c>
      <c r="D20" s="43"/>
      <c r="E20" s="43"/>
      <c r="F20" s="42"/>
    </row>
    <row r="21" spans="1:6" ht="15">
      <c r="A21" s="29"/>
      <c r="B21" s="30" t="s">
        <v>38</v>
      </c>
      <c r="C21" s="44">
        <f>E18</f>
        <v>1.4959715936636089</v>
      </c>
      <c r="D21" s="42"/>
      <c r="E21" s="42"/>
      <c r="F21" s="42"/>
    </row>
    <row r="22" spans="1:6" ht="9" customHeight="1">
      <c r="A22" s="29"/>
      <c r="B22" s="30"/>
      <c r="C22" s="44"/>
      <c r="D22" s="42"/>
      <c r="E22" s="42"/>
      <c r="F22" s="42"/>
    </row>
    <row r="23" spans="1:6" ht="33" customHeight="1">
      <c r="A23" s="138" t="s">
        <v>39</v>
      </c>
      <c r="B23" s="138"/>
      <c r="C23" s="138"/>
      <c r="D23" s="138"/>
      <c r="E23" s="138"/>
      <c r="F23" s="138"/>
    </row>
    <row r="24" spans="1:6" ht="6" customHeight="1">
      <c r="A24" s="1"/>
      <c r="B24" s="1"/>
      <c r="C24" s="1"/>
      <c r="D24" s="2"/>
      <c r="E24" s="2"/>
      <c r="F24" s="2"/>
    </row>
    <row r="25" spans="1:6" ht="71.25">
      <c r="A25" s="8"/>
      <c r="B25" s="9" t="s">
        <v>4</v>
      </c>
      <c r="C25" s="9" t="s">
        <v>5</v>
      </c>
      <c r="D25" s="9" t="s">
        <v>6</v>
      </c>
      <c r="E25" s="9" t="s">
        <v>7</v>
      </c>
      <c r="F25" s="2"/>
    </row>
    <row r="26" spans="1:5" ht="30" customHeight="1">
      <c r="A26" s="139" t="s">
        <v>40</v>
      </c>
      <c r="B26" s="139"/>
      <c r="C26" s="139"/>
      <c r="D26" s="12">
        <f>D27</f>
        <v>9.696</v>
      </c>
      <c r="E26" s="12">
        <f>E27</f>
        <v>0.01</v>
      </c>
    </row>
    <row r="27" spans="1:5" ht="30">
      <c r="A27" s="15">
        <v>1</v>
      </c>
      <c r="B27" s="45" t="s">
        <v>41</v>
      </c>
      <c r="C27" s="45" t="s">
        <v>42</v>
      </c>
      <c r="D27" s="17">
        <f>E27*12*$D$2</f>
        <v>9.696</v>
      </c>
      <c r="E27" s="46">
        <v>0.01</v>
      </c>
    </row>
    <row r="28" spans="1:5" ht="28.5" customHeight="1">
      <c r="A28" s="139" t="s">
        <v>43</v>
      </c>
      <c r="B28" s="139"/>
      <c r="C28" s="139"/>
      <c r="D28" s="12">
        <f>D29</f>
        <v>58.176</v>
      </c>
      <c r="E28" s="12">
        <f>E29</f>
        <v>0.06</v>
      </c>
    </row>
    <row r="29" spans="1:5" ht="15">
      <c r="A29" s="15">
        <v>2</v>
      </c>
      <c r="B29" s="47" t="s">
        <v>46</v>
      </c>
      <c r="C29" s="8" t="s">
        <v>42</v>
      </c>
      <c r="D29" s="17">
        <f>E29*$D$2*12</f>
        <v>58.176</v>
      </c>
      <c r="E29" s="18">
        <v>0.06</v>
      </c>
    </row>
    <row r="30" spans="1:6" ht="15">
      <c r="A30" s="9"/>
      <c r="B30" s="27" t="s">
        <v>27</v>
      </c>
      <c r="C30" s="27"/>
      <c r="D30" s="48">
        <f>D26+D28</f>
        <v>67.872</v>
      </c>
      <c r="E30" s="12">
        <f>E26+E28</f>
        <v>0.06999999999999999</v>
      </c>
      <c r="F30" s="6"/>
    </row>
    <row r="31" spans="1:6" ht="9" customHeight="1">
      <c r="A31" s="2"/>
      <c r="B31" s="2"/>
      <c r="C31" s="2"/>
      <c r="D31" s="2"/>
      <c r="E31" s="2"/>
      <c r="F31" s="2"/>
    </row>
    <row r="32" spans="1:3" ht="27" customHeight="1">
      <c r="A32" s="149" t="s">
        <v>262</v>
      </c>
      <c r="B32" s="150"/>
      <c r="C32" s="81">
        <f>C20</f>
        <v>1450.4940572162352</v>
      </c>
    </row>
  </sheetData>
  <mergeCells count="9">
    <mergeCell ref="A32:B32"/>
    <mergeCell ref="A16:C16"/>
    <mergeCell ref="A23:F23"/>
    <mergeCell ref="A26:C26"/>
    <mergeCell ref="A28:C28"/>
    <mergeCell ref="A4:E4"/>
    <mergeCell ref="A7:C7"/>
    <mergeCell ref="A10:C10"/>
    <mergeCell ref="A13:C1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4">
      <selection activeCell="F28" sqref="F2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10.375" style="3" bestFit="1" customWidth="1"/>
    <col min="7" max="16384" width="9.125" style="3" customWidth="1"/>
  </cols>
  <sheetData>
    <row r="1" ht="15">
      <c r="B1" s="59" t="s">
        <v>478</v>
      </c>
    </row>
    <row r="2" spans="1:6" ht="39" customHeight="1">
      <c r="A2" s="2"/>
      <c r="B2" s="1" t="s">
        <v>479</v>
      </c>
      <c r="C2" s="4"/>
      <c r="D2" s="5">
        <v>89.1</v>
      </c>
      <c r="E2" s="6" t="s">
        <v>2</v>
      </c>
      <c r="F2" s="2"/>
    </row>
    <row r="3" spans="1:6" ht="6.75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5.25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888.1702093879331</v>
      </c>
      <c r="E7" s="12">
        <f>SUM(E8:E9)</f>
        <v>0.8306866904114603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812.5985447282096</v>
      </c>
      <c r="E8" s="20">
        <v>0.7600061211449773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75.57166465972352</v>
      </c>
      <c r="E9" s="17">
        <v>0.0706805692664829</v>
      </c>
      <c r="F9" s="21"/>
    </row>
    <row r="10" spans="1:6" ht="15">
      <c r="A10" s="140" t="s">
        <v>64</v>
      </c>
      <c r="B10" s="143"/>
      <c r="C10" s="144"/>
      <c r="D10" s="23">
        <f>SUM(D11:D12)</f>
        <v>85.67563517824206</v>
      </c>
      <c r="E10" s="23">
        <f>SUM(E11:E12)</f>
        <v>0.08013059780980364</v>
      </c>
      <c r="F10" s="21"/>
    </row>
    <row r="11" spans="1:6" ht="30">
      <c r="A11" s="11">
        <v>3</v>
      </c>
      <c r="B11" s="22" t="s">
        <v>17</v>
      </c>
      <c r="C11" s="22" t="s">
        <v>18</v>
      </c>
      <c r="D11" s="17">
        <f>E11*$D$2*12</f>
        <v>47.19022995124921</v>
      </c>
      <c r="E11" s="20">
        <v>0.044136017537644234</v>
      </c>
      <c r="F11" s="21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38.485405226992846</v>
      </c>
      <c r="E12" s="17">
        <v>0.03599458027215941</v>
      </c>
      <c r="F12" s="2"/>
    </row>
    <row r="13" spans="1:6" ht="15">
      <c r="A13" s="145" t="s">
        <v>67</v>
      </c>
      <c r="B13" s="146"/>
      <c r="C13" s="146"/>
      <c r="D13" s="24">
        <f>SUM(D14:D15)</f>
        <v>299.7173297531777</v>
      </c>
      <c r="E13" s="24">
        <f>SUM(E14:E15)</f>
        <v>0.28031923845227996</v>
      </c>
      <c r="F13" s="2"/>
    </row>
    <row r="14" spans="1:6" ht="60">
      <c r="A14" s="15">
        <v>5</v>
      </c>
      <c r="B14" s="22" t="s">
        <v>86</v>
      </c>
      <c r="C14" s="22" t="s">
        <v>18</v>
      </c>
      <c r="D14" s="17">
        <f>E14*12*$D$2</f>
        <v>13.176963154597562</v>
      </c>
      <c r="E14" s="20">
        <v>0.012324133141224807</v>
      </c>
      <c r="F14" s="2"/>
    </row>
    <row r="15" spans="1:6" ht="60">
      <c r="A15" s="15">
        <v>6</v>
      </c>
      <c r="B15" s="22" t="s">
        <v>22</v>
      </c>
      <c r="C15" s="22" t="s">
        <v>87</v>
      </c>
      <c r="D15" s="17">
        <f>E15*12*$D$2</f>
        <v>286.54036659858014</v>
      </c>
      <c r="E15" s="17">
        <v>0.26799510531105514</v>
      </c>
      <c r="F15" s="2"/>
    </row>
    <row r="16" spans="1:6" ht="15">
      <c r="A16" s="145" t="s">
        <v>70</v>
      </c>
      <c r="B16" s="145"/>
      <c r="C16" s="145"/>
      <c r="D16" s="25">
        <f>SUM(D17)</f>
        <v>179.17282430992165</v>
      </c>
      <c r="E16" s="25">
        <f>SUM(E17)</f>
        <v>0.16757652853528027</v>
      </c>
      <c r="F16" s="2"/>
    </row>
    <row r="17" spans="1:6" ht="15">
      <c r="A17" s="15">
        <v>7</v>
      </c>
      <c r="B17" s="22" t="s">
        <v>25</v>
      </c>
      <c r="C17" s="22" t="s">
        <v>26</v>
      </c>
      <c r="D17" s="17">
        <f>E17*12*$D$2</f>
        <v>179.17282430992165</v>
      </c>
      <c r="E17" s="26">
        <v>0.16757652853528027</v>
      </c>
      <c r="F17" s="2"/>
    </row>
    <row r="18" spans="1:6" ht="15">
      <c r="A18" s="9"/>
      <c r="B18" s="27" t="s">
        <v>27</v>
      </c>
      <c r="C18" s="27"/>
      <c r="D18" s="48">
        <f>D7+D10+D13+D16</f>
        <v>1452.7359986292745</v>
      </c>
      <c r="E18" s="12">
        <f>E7+E10+E13+E16</f>
        <v>1.358713055208824</v>
      </c>
      <c r="F18" s="6"/>
    </row>
    <row r="19" spans="1:6" ht="6.75" customHeight="1">
      <c r="A19" s="29"/>
      <c r="B19" s="30"/>
      <c r="C19" s="31"/>
      <c r="D19" s="128"/>
      <c r="E19" s="64"/>
      <c r="F19" s="2"/>
    </row>
    <row r="20" spans="1:6" ht="29.25">
      <c r="A20" s="29"/>
      <c r="B20" s="30" t="s">
        <v>37</v>
      </c>
      <c r="C20" s="43">
        <f>D18</f>
        <v>1452.7359986292745</v>
      </c>
      <c r="D20" s="43"/>
      <c r="E20" s="43"/>
      <c r="F20" s="42"/>
    </row>
    <row r="21" spans="1:6" ht="15">
      <c r="A21" s="29"/>
      <c r="B21" s="30" t="s">
        <v>38</v>
      </c>
      <c r="C21" s="44">
        <f>E18</f>
        <v>1.358713055208824</v>
      </c>
      <c r="D21" s="42"/>
      <c r="E21" s="42"/>
      <c r="F21" s="42"/>
    </row>
    <row r="22" spans="1:6" ht="6" customHeight="1">
      <c r="A22" s="29"/>
      <c r="B22" s="30"/>
      <c r="C22" s="44"/>
      <c r="D22" s="42"/>
      <c r="E22" s="42"/>
      <c r="F22" s="42"/>
    </row>
    <row r="23" spans="1:6" ht="33" customHeight="1">
      <c r="A23" s="138" t="s">
        <v>39</v>
      </c>
      <c r="B23" s="138"/>
      <c r="C23" s="138"/>
      <c r="D23" s="138"/>
      <c r="E23" s="138"/>
      <c r="F23" s="138"/>
    </row>
    <row r="24" spans="1:6" ht="6" customHeight="1">
      <c r="A24" s="1"/>
      <c r="B24" s="1"/>
      <c r="C24" s="1"/>
      <c r="D24" s="2"/>
      <c r="E24" s="2"/>
      <c r="F24" s="2"/>
    </row>
    <row r="25" spans="1:6" ht="71.25">
      <c r="A25" s="8"/>
      <c r="B25" s="9" t="s">
        <v>4</v>
      </c>
      <c r="C25" s="9" t="s">
        <v>5</v>
      </c>
      <c r="D25" s="9" t="s">
        <v>6</v>
      </c>
      <c r="E25" s="9" t="s">
        <v>7</v>
      </c>
      <c r="F25" s="2"/>
    </row>
    <row r="26" spans="1:5" ht="15">
      <c r="A26" s="139" t="s">
        <v>40</v>
      </c>
      <c r="B26" s="139"/>
      <c r="C26" s="139"/>
      <c r="D26" s="12">
        <f>D27</f>
        <v>10.691999999999998</v>
      </c>
      <c r="E26" s="12">
        <f>E27</f>
        <v>0.01</v>
      </c>
    </row>
    <row r="27" spans="1:5" ht="30">
      <c r="A27" s="15">
        <v>1</v>
      </c>
      <c r="B27" s="45" t="s">
        <v>41</v>
      </c>
      <c r="C27" s="45" t="s">
        <v>213</v>
      </c>
      <c r="D27" s="17">
        <f>E27*12*$D$2</f>
        <v>10.691999999999998</v>
      </c>
      <c r="E27" s="46">
        <v>0.01</v>
      </c>
    </row>
    <row r="28" spans="1:5" ht="32.25" customHeight="1">
      <c r="A28" s="139" t="s">
        <v>43</v>
      </c>
      <c r="B28" s="139"/>
      <c r="C28" s="139"/>
      <c r="D28" s="12">
        <f>D29+D30</f>
        <v>85.53599999999999</v>
      </c>
      <c r="E28" s="12">
        <f>E29+E30</f>
        <v>0.08</v>
      </c>
    </row>
    <row r="29" spans="1:5" ht="28.5" customHeight="1">
      <c r="A29" s="15">
        <v>2</v>
      </c>
      <c r="B29" s="45" t="s">
        <v>44</v>
      </c>
      <c r="C29" s="45" t="s">
        <v>45</v>
      </c>
      <c r="D29" s="17">
        <f>E29*$D$2*12</f>
        <v>21.384</v>
      </c>
      <c r="E29" s="46">
        <v>0.02</v>
      </c>
    </row>
    <row r="30" spans="1:5" ht="15">
      <c r="A30" s="15">
        <v>3</v>
      </c>
      <c r="B30" s="47" t="s">
        <v>46</v>
      </c>
      <c r="C30" s="8" t="s">
        <v>213</v>
      </c>
      <c r="D30" s="17">
        <f>E30*$D$2*12</f>
        <v>64.15199999999999</v>
      </c>
      <c r="E30" s="18">
        <v>0.06</v>
      </c>
    </row>
    <row r="31" spans="1:6" ht="15">
      <c r="A31" s="9"/>
      <c r="B31" s="27" t="s">
        <v>27</v>
      </c>
      <c r="C31" s="27"/>
      <c r="D31" s="48">
        <f>D26+D28</f>
        <v>96.22799999999998</v>
      </c>
      <c r="E31" s="12">
        <f>E26+E28</f>
        <v>0.09</v>
      </c>
      <c r="F31" s="6"/>
    </row>
    <row r="32" spans="1:6" ht="5.25" customHeight="1">
      <c r="A32" s="2"/>
      <c r="B32" s="2"/>
      <c r="C32" s="2"/>
      <c r="D32" s="2"/>
      <c r="E32" s="2"/>
      <c r="F32" s="2"/>
    </row>
    <row r="33" spans="2:3" ht="29.25">
      <c r="B33" s="30" t="s">
        <v>480</v>
      </c>
      <c r="C33" s="132">
        <f>+C20</f>
        <v>1452.7359986292745</v>
      </c>
    </row>
  </sheetData>
  <sheetProtection/>
  <mergeCells count="8">
    <mergeCell ref="A23:F23"/>
    <mergeCell ref="A26:C26"/>
    <mergeCell ref="A28:C28"/>
    <mergeCell ref="A4:E4"/>
    <mergeCell ref="A7:C7"/>
    <mergeCell ref="A10:C10"/>
    <mergeCell ref="A13:C13"/>
    <mergeCell ref="A16:C16"/>
  </mergeCells>
  <printOptions/>
  <pageMargins left="0.2755905511811024" right="0.3937007874015748" top="0.2755905511811024" bottom="0.2755905511811024" header="0" footer="0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 topLeftCell="A19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263</v>
      </c>
    </row>
    <row r="2" spans="1:6" ht="15" customHeight="1">
      <c r="A2" s="2"/>
      <c r="B2" s="1" t="s">
        <v>264</v>
      </c>
      <c r="C2" s="4"/>
      <c r="D2" s="5">
        <v>79.2</v>
      </c>
      <c r="E2" s="6" t="s">
        <v>2</v>
      </c>
      <c r="F2" s="2"/>
    </row>
    <row r="3" spans="1:6" ht="6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9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740.1418411566117</v>
      </c>
      <c r="E7" s="12">
        <f>SUM(E8:E9)</f>
        <v>0.7787687722607445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677.1654539401753</v>
      </c>
      <c r="E8" s="60">
        <v>0.7125057385734167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62.97638721643631</v>
      </c>
      <c r="E9" s="60">
        <v>0.06626303368732776</v>
      </c>
      <c r="F9" s="21"/>
    </row>
    <row r="10" spans="1:6" ht="14.25" customHeight="1">
      <c r="A10" s="140" t="s">
        <v>64</v>
      </c>
      <c r="B10" s="143"/>
      <c r="C10" s="144"/>
      <c r="D10" s="23">
        <f>SUM(D11:D12)</f>
        <v>85.67563517824212</v>
      </c>
      <c r="E10" s="23">
        <f>SUM(E11:E12)</f>
        <v>0.09014692253602916</v>
      </c>
      <c r="F10" s="21"/>
    </row>
    <row r="11" spans="1:6" ht="29.25" customHeight="1">
      <c r="A11" s="15">
        <v>3</v>
      </c>
      <c r="B11" s="22" t="s">
        <v>17</v>
      </c>
      <c r="C11" s="22" t="s">
        <v>18</v>
      </c>
      <c r="D11" s="17">
        <f>E11*12*$D$2</f>
        <v>47.19022995124922</v>
      </c>
      <c r="E11" s="60">
        <v>0.049653019729849764</v>
      </c>
      <c r="F11" s="13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38.485405226992896</v>
      </c>
      <c r="E12" s="60">
        <v>0.04049390280617939</v>
      </c>
      <c r="F12" s="2"/>
    </row>
    <row r="13" spans="1:9" ht="15">
      <c r="A13" s="145" t="s">
        <v>67</v>
      </c>
      <c r="B13" s="146"/>
      <c r="C13" s="146"/>
      <c r="D13" s="24">
        <f>SUM(D14:D15)</f>
        <v>285.01280913724986</v>
      </c>
      <c r="E13" s="24">
        <f>SUM(E14:E15)</f>
        <v>0.2998872150013151</v>
      </c>
      <c r="F13" s="2"/>
      <c r="H13" s="99"/>
      <c r="I13" s="65"/>
    </row>
    <row r="14" spans="1:9" ht="60">
      <c r="A14" s="15">
        <v>5</v>
      </c>
      <c r="B14" s="22" t="s">
        <v>86</v>
      </c>
      <c r="C14" s="22" t="s">
        <v>18</v>
      </c>
      <c r="D14" s="17">
        <f>E14*12*$D$2</f>
        <v>13.176963154597573</v>
      </c>
      <c r="E14" s="60">
        <v>0.013864649783877915</v>
      </c>
      <c r="F14" s="2"/>
      <c r="G14" s="99"/>
      <c r="H14" s="99"/>
      <c r="I14" s="64"/>
    </row>
    <row r="15" spans="1:9" ht="60">
      <c r="A15" s="15">
        <v>6</v>
      </c>
      <c r="B15" s="22" t="s">
        <v>22</v>
      </c>
      <c r="C15" s="22" t="s">
        <v>122</v>
      </c>
      <c r="D15" s="17">
        <f>E15*12*$D$2</f>
        <v>271.8358459826523</v>
      </c>
      <c r="E15" s="60">
        <v>0.2860225652174372</v>
      </c>
      <c r="F15" s="2"/>
      <c r="G15" s="99"/>
      <c r="H15" s="99"/>
      <c r="I15" s="64"/>
    </row>
    <row r="16" spans="1:6" ht="15">
      <c r="A16" s="145" t="s">
        <v>70</v>
      </c>
      <c r="B16" s="145"/>
      <c r="C16" s="145"/>
      <c r="D16" s="25">
        <f>SUM(D17)</f>
        <v>177.3080293309561</v>
      </c>
      <c r="E16" s="23">
        <f>SUM(E17)</f>
        <v>0.18656147867314402</v>
      </c>
      <c r="F16" s="2"/>
    </row>
    <row r="17" spans="1:9" ht="15">
      <c r="A17" s="15">
        <v>7</v>
      </c>
      <c r="B17" s="22" t="s">
        <v>25</v>
      </c>
      <c r="C17" s="22" t="s">
        <v>26</v>
      </c>
      <c r="D17" s="17">
        <f>E17*12*$D$2</f>
        <v>177.3080293309561</v>
      </c>
      <c r="E17" s="60">
        <f>0.185861478673144+0.0007</f>
        <v>0.18656147867314402</v>
      </c>
      <c r="F17" s="2"/>
      <c r="G17" s="114"/>
      <c r="H17" s="99"/>
      <c r="I17" s="80"/>
    </row>
    <row r="18" spans="1:6" ht="15">
      <c r="A18" s="9"/>
      <c r="B18" s="27" t="s">
        <v>27</v>
      </c>
      <c r="C18" s="27"/>
      <c r="D18" s="48">
        <f>D7+D10+D13+D16</f>
        <v>1288.1383148030598</v>
      </c>
      <c r="E18" s="12">
        <f>E7+E10+E13+E16</f>
        <v>1.3553643884712328</v>
      </c>
      <c r="F18" s="6"/>
    </row>
    <row r="19" spans="1:6" ht="11.25" customHeight="1">
      <c r="A19" s="29"/>
      <c r="B19" s="30"/>
      <c r="C19" s="31"/>
      <c r="D19" s="32"/>
      <c r="E19" s="33"/>
      <c r="F19" s="2"/>
    </row>
    <row r="20" spans="1:6" ht="29.25">
      <c r="A20" s="29"/>
      <c r="B20" s="30" t="s">
        <v>37</v>
      </c>
      <c r="C20" s="115">
        <f>D18</f>
        <v>1288.1383148030598</v>
      </c>
      <c r="D20" s="43"/>
      <c r="E20" s="43"/>
      <c r="F20" s="42"/>
    </row>
    <row r="21" spans="1:6" ht="15">
      <c r="A21" s="29"/>
      <c r="B21" s="30" t="s">
        <v>38</v>
      </c>
      <c r="C21" s="44">
        <f>E18</f>
        <v>1.3553643884712328</v>
      </c>
      <c r="D21" s="42"/>
      <c r="E21" s="42"/>
      <c r="F21" s="42"/>
    </row>
    <row r="22" spans="1:6" ht="9" customHeight="1">
      <c r="A22" s="29"/>
      <c r="B22" s="30"/>
      <c r="C22" s="44"/>
      <c r="D22" s="42"/>
      <c r="E22" s="42"/>
      <c r="F22" s="42"/>
    </row>
    <row r="23" spans="1:6" ht="33" customHeight="1">
      <c r="A23" s="138" t="s">
        <v>39</v>
      </c>
      <c r="B23" s="138"/>
      <c r="C23" s="138"/>
      <c r="D23" s="138"/>
      <c r="E23" s="138"/>
      <c r="F23" s="138"/>
    </row>
    <row r="24" spans="1:6" ht="6" customHeight="1">
      <c r="A24" s="1"/>
      <c r="B24" s="1"/>
      <c r="C24" s="1"/>
      <c r="D24" s="2"/>
      <c r="E24" s="2"/>
      <c r="F24" s="2"/>
    </row>
    <row r="25" spans="1:6" ht="71.25">
      <c r="A25" s="8"/>
      <c r="B25" s="9" t="s">
        <v>4</v>
      </c>
      <c r="C25" s="9" t="s">
        <v>5</v>
      </c>
      <c r="D25" s="9" t="s">
        <v>6</v>
      </c>
      <c r="E25" s="9" t="s">
        <v>7</v>
      </c>
      <c r="F25" s="2"/>
    </row>
    <row r="26" spans="1:5" ht="30" customHeight="1">
      <c r="A26" s="139" t="s">
        <v>40</v>
      </c>
      <c r="B26" s="139"/>
      <c r="C26" s="139"/>
      <c r="D26" s="12">
        <f>D27</f>
        <v>9.504</v>
      </c>
      <c r="E26" s="12">
        <f>E27</f>
        <v>0.01</v>
      </c>
    </row>
    <row r="27" spans="1:5" ht="30">
      <c r="A27" s="15">
        <v>1</v>
      </c>
      <c r="B27" s="45" t="s">
        <v>41</v>
      </c>
      <c r="C27" s="45" t="s">
        <v>42</v>
      </c>
      <c r="D27" s="17">
        <f>E27*12*$D$2</f>
        <v>9.504</v>
      </c>
      <c r="E27" s="46">
        <v>0.01</v>
      </c>
    </row>
    <row r="28" spans="1:5" ht="28.5" customHeight="1">
      <c r="A28" s="139" t="s">
        <v>43</v>
      </c>
      <c r="B28" s="139"/>
      <c r="C28" s="139"/>
      <c r="D28" s="12">
        <f>D29</f>
        <v>57.024</v>
      </c>
      <c r="E28" s="12">
        <f>E29</f>
        <v>0.06</v>
      </c>
    </row>
    <row r="29" spans="1:5" ht="15">
      <c r="A29" s="15">
        <v>2</v>
      </c>
      <c r="B29" s="47" t="s">
        <v>46</v>
      </c>
      <c r="C29" s="8" t="s">
        <v>42</v>
      </c>
      <c r="D29" s="17">
        <f>E29*$D$2*12</f>
        <v>57.024</v>
      </c>
      <c r="E29" s="18">
        <v>0.06</v>
      </c>
    </row>
    <row r="30" spans="1:6" ht="15">
      <c r="A30" s="9"/>
      <c r="B30" s="27" t="s">
        <v>27</v>
      </c>
      <c r="C30" s="27"/>
      <c r="D30" s="48">
        <f>D26+D28</f>
        <v>66.528</v>
      </c>
      <c r="E30" s="12">
        <f>E26+E28</f>
        <v>0.06999999999999999</v>
      </c>
      <c r="F30" s="6"/>
    </row>
    <row r="31" spans="1:6" ht="9" customHeight="1">
      <c r="A31" s="2"/>
      <c r="B31" s="2"/>
      <c r="C31" s="2"/>
      <c r="D31" s="2"/>
      <c r="E31" s="2"/>
      <c r="F31" s="2"/>
    </row>
    <row r="32" spans="1:3" ht="27" customHeight="1">
      <c r="A32" s="149" t="s">
        <v>265</v>
      </c>
      <c r="B32" s="148"/>
      <c r="C32" s="81">
        <f>C20</f>
        <v>1288.1383148030598</v>
      </c>
    </row>
  </sheetData>
  <mergeCells count="9">
    <mergeCell ref="A32:B32"/>
    <mergeCell ref="A16:C16"/>
    <mergeCell ref="A23:F23"/>
    <mergeCell ref="A26:C26"/>
    <mergeCell ref="A28:C28"/>
    <mergeCell ref="A4:E4"/>
    <mergeCell ref="A7:C7"/>
    <mergeCell ref="A10:C10"/>
    <mergeCell ref="A13:C13"/>
  </mergeCells>
  <printOptions horizontalCentered="1"/>
  <pageMargins left="0.3937007874015748" right="0.31496062992125984" top="0.31496062992125984" bottom="0.1968503937007874" header="0.5118110236220472" footer="0.5118110236220472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N91"/>
  <sheetViews>
    <sheetView zoomScale="75" zoomScaleNormal="75" workbookViewId="0" topLeftCell="A82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266</v>
      </c>
    </row>
    <row r="2" spans="1:6" ht="18.75" customHeight="1">
      <c r="A2" s="2"/>
      <c r="B2" s="1" t="s">
        <v>267</v>
      </c>
      <c r="C2" s="4"/>
      <c r="D2" s="5">
        <v>75.5</v>
      </c>
      <c r="E2" s="6" t="s">
        <v>2</v>
      </c>
      <c r="F2" s="2"/>
    </row>
    <row r="3" spans="1:6" ht="9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1.25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8" ht="15">
      <c r="A7" s="140" t="s">
        <v>233</v>
      </c>
      <c r="B7" s="141"/>
      <c r="C7" s="142"/>
      <c r="D7" s="12">
        <f>SUM(D8:D9)</f>
        <v>444.08510469396685</v>
      </c>
      <c r="E7" s="12">
        <f>SUM(E8:E9)</f>
        <v>0.4901601597063653</v>
      </c>
      <c r="F7" s="19"/>
      <c r="G7" s="108"/>
      <c r="H7" s="108"/>
    </row>
    <row r="8" spans="1:7" ht="15.75" customHeight="1">
      <c r="A8" s="15">
        <v>1</v>
      </c>
      <c r="B8" s="8" t="s">
        <v>12</v>
      </c>
      <c r="C8" s="16" t="s">
        <v>13</v>
      </c>
      <c r="D8" s="17">
        <f>E8*12*$D$2</f>
        <v>406.2992723641051</v>
      </c>
      <c r="E8" s="60">
        <v>0.4484539430067386</v>
      </c>
      <c r="F8" s="21"/>
      <c r="G8" s="108"/>
    </row>
    <row r="9" spans="1:7" ht="30">
      <c r="A9" s="15">
        <v>2</v>
      </c>
      <c r="B9" s="22" t="s">
        <v>14</v>
      </c>
      <c r="C9" s="22" t="s">
        <v>15</v>
      </c>
      <c r="D9" s="17">
        <f>E9*12*$D$2</f>
        <v>37.78583232986178</v>
      </c>
      <c r="E9" s="60">
        <v>0.041706216699626694</v>
      </c>
      <c r="F9" s="21"/>
      <c r="G9" s="108"/>
    </row>
    <row r="10" spans="1:6" ht="18.75" customHeight="1">
      <c r="A10" s="140" t="s">
        <v>64</v>
      </c>
      <c r="B10" s="143"/>
      <c r="C10" s="144"/>
      <c r="D10" s="23">
        <f>SUM(D11:D12)</f>
        <v>85.67563517824212</v>
      </c>
      <c r="E10" s="23">
        <f>SUM(E11:E12)</f>
        <v>0.09456471873978159</v>
      </c>
      <c r="F10" s="21"/>
    </row>
    <row r="11" spans="1:7" ht="30" customHeight="1">
      <c r="A11" s="15">
        <v>3</v>
      </c>
      <c r="B11" s="22" t="s">
        <v>17</v>
      </c>
      <c r="C11" s="22" t="s">
        <v>18</v>
      </c>
      <c r="D11" s="17">
        <f>E11*12*$D$2</f>
        <v>47.19022995124922</v>
      </c>
      <c r="E11" s="60">
        <v>0.052086346524557646</v>
      </c>
      <c r="F11" s="13"/>
      <c r="G11" s="116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38.4854052269929</v>
      </c>
      <c r="E12" s="60">
        <v>0.04247837221522395</v>
      </c>
      <c r="F12" s="2"/>
    </row>
    <row r="13" spans="1:8" ht="15">
      <c r="A13" s="145" t="s">
        <v>67</v>
      </c>
      <c r="B13" s="146"/>
      <c r="C13" s="146"/>
      <c r="D13" s="24">
        <f>SUM(D14:D15)</f>
        <v>279.5171802201859</v>
      </c>
      <c r="E13" s="24">
        <f>SUM(E14:E15)</f>
        <v>0.3085178589626776</v>
      </c>
      <c r="F13" s="2"/>
      <c r="H13" s="64"/>
    </row>
    <row r="14" spans="1:10" ht="60">
      <c r="A14" s="15">
        <v>5</v>
      </c>
      <c r="B14" s="22" t="s">
        <v>86</v>
      </c>
      <c r="C14" s="22" t="s">
        <v>18</v>
      </c>
      <c r="D14" s="17">
        <f>E14*12*$D$2</f>
        <v>13.17696315459757</v>
      </c>
      <c r="E14" s="60">
        <v>0.014544109442160674</v>
      </c>
      <c r="F14" s="2"/>
      <c r="G14" s="64"/>
      <c r="H14" s="64"/>
      <c r="J14" s="65"/>
    </row>
    <row r="15" spans="1:14" ht="60">
      <c r="A15" s="15">
        <v>6</v>
      </c>
      <c r="B15" s="22" t="s">
        <v>22</v>
      </c>
      <c r="C15" s="22" t="s">
        <v>87</v>
      </c>
      <c r="D15" s="17">
        <f>E15*12*$D$2</f>
        <v>266.3402170655883</v>
      </c>
      <c r="E15" s="60">
        <v>0.2939737495205169</v>
      </c>
      <c r="F15" s="2"/>
      <c r="G15" s="64"/>
      <c r="H15" s="64"/>
      <c r="J15" s="65"/>
      <c r="N15" s="14"/>
    </row>
    <row r="16" spans="1:8" ht="15">
      <c r="A16" s="145" t="s">
        <v>70</v>
      </c>
      <c r="B16" s="145"/>
      <c r="C16" s="145"/>
      <c r="D16" s="25">
        <f>SUM(D17)</f>
        <v>172.58859100401096</v>
      </c>
      <c r="E16" s="23">
        <f>SUM(E17)</f>
        <v>0.190495133558511</v>
      </c>
      <c r="F16" s="2"/>
      <c r="G16" s="107"/>
      <c r="H16" s="64"/>
    </row>
    <row r="17" spans="1:8" ht="15">
      <c r="A17" s="15">
        <v>7</v>
      </c>
      <c r="B17" s="22" t="s">
        <v>25</v>
      </c>
      <c r="C17" s="22" t="s">
        <v>26</v>
      </c>
      <c r="D17" s="17">
        <f>E17*12*$D$2</f>
        <v>172.58859100401096</v>
      </c>
      <c r="E17" s="60">
        <f>0.189795133558511+0.0007</f>
        <v>0.190495133558511</v>
      </c>
      <c r="F17" s="2"/>
      <c r="G17" s="107"/>
      <c r="H17" s="64"/>
    </row>
    <row r="18" spans="1:8" ht="15">
      <c r="A18" s="9"/>
      <c r="B18" s="27" t="s">
        <v>27</v>
      </c>
      <c r="C18" s="27"/>
      <c r="D18" s="48">
        <f>D10+D13+D16+D7</f>
        <v>981.8665110964058</v>
      </c>
      <c r="E18" s="12">
        <f>E10+E13+E16+E7</f>
        <v>1.0837378709673353</v>
      </c>
      <c r="F18" s="6"/>
      <c r="G18" s="107"/>
      <c r="H18" s="64"/>
    </row>
    <row r="19" spans="1:6" ht="15">
      <c r="A19" s="29"/>
      <c r="B19" s="30"/>
      <c r="C19" s="31"/>
      <c r="D19" s="32"/>
      <c r="E19" s="33"/>
      <c r="F19" s="2"/>
    </row>
    <row r="20" spans="1:6" ht="29.25">
      <c r="A20" s="29"/>
      <c r="B20" s="30" t="s">
        <v>37</v>
      </c>
      <c r="C20" s="115">
        <f>D18</f>
        <v>981.8665110964058</v>
      </c>
      <c r="D20" s="43"/>
      <c r="E20" s="43"/>
      <c r="F20" s="42"/>
    </row>
    <row r="21" spans="1:6" ht="15">
      <c r="A21" s="29"/>
      <c r="B21" s="30" t="s">
        <v>38</v>
      </c>
      <c r="C21" s="44">
        <f>E18</f>
        <v>1.0837378709673353</v>
      </c>
      <c r="D21" s="42"/>
      <c r="E21" s="42"/>
      <c r="F21" s="42"/>
    </row>
    <row r="22" spans="1:6" ht="15" customHeight="1">
      <c r="A22" s="29"/>
      <c r="B22" s="30"/>
      <c r="C22" s="44"/>
      <c r="D22" s="42"/>
      <c r="E22" s="42"/>
      <c r="F22" s="42"/>
    </row>
    <row r="23" spans="1:6" ht="33" customHeight="1">
      <c r="A23" s="138" t="s">
        <v>39</v>
      </c>
      <c r="B23" s="138"/>
      <c r="C23" s="138"/>
      <c r="D23" s="138"/>
      <c r="E23" s="138"/>
      <c r="F23" s="138"/>
    </row>
    <row r="24" spans="1:6" ht="15">
      <c r="A24" s="1"/>
      <c r="B24" s="1"/>
      <c r="C24" s="1"/>
      <c r="D24" s="2"/>
      <c r="E24" s="2"/>
      <c r="F24" s="2"/>
    </row>
    <row r="25" spans="1:6" ht="71.25">
      <c r="A25" s="8"/>
      <c r="B25" s="9" t="s">
        <v>4</v>
      </c>
      <c r="C25" s="9" t="s">
        <v>5</v>
      </c>
      <c r="D25" s="9" t="s">
        <v>6</v>
      </c>
      <c r="E25" s="9" t="s">
        <v>7</v>
      </c>
      <c r="F25" s="2"/>
    </row>
    <row r="26" spans="1:5" ht="30" customHeight="1">
      <c r="A26" s="139" t="s">
        <v>40</v>
      </c>
      <c r="B26" s="139"/>
      <c r="C26" s="139"/>
      <c r="D26" s="12">
        <f>D27</f>
        <v>9.06</v>
      </c>
      <c r="E26" s="12">
        <f>E27</f>
        <v>0.01</v>
      </c>
    </row>
    <row r="27" spans="1:5" ht="30">
      <c r="A27" s="15">
        <v>1</v>
      </c>
      <c r="B27" s="45" t="s">
        <v>41</v>
      </c>
      <c r="C27" s="45" t="s">
        <v>42</v>
      </c>
      <c r="D27" s="17">
        <f>E27*12*$D$2</f>
        <v>9.06</v>
      </c>
      <c r="E27" s="46">
        <v>0.01</v>
      </c>
    </row>
    <row r="28" spans="1:5" ht="32.25" customHeight="1">
      <c r="A28" s="139" t="s">
        <v>43</v>
      </c>
      <c r="B28" s="139"/>
      <c r="C28" s="139"/>
      <c r="D28" s="12">
        <f>D29</f>
        <v>54.36</v>
      </c>
      <c r="E28" s="12">
        <f>E29</f>
        <v>0.06</v>
      </c>
    </row>
    <row r="29" spans="1:5" ht="15">
      <c r="A29" s="15">
        <v>2</v>
      </c>
      <c r="B29" s="47" t="s">
        <v>46</v>
      </c>
      <c r="C29" s="8" t="s">
        <v>213</v>
      </c>
      <c r="D29" s="17">
        <f>E29*$D$2*12</f>
        <v>54.36</v>
      </c>
      <c r="E29" s="18">
        <v>0.06</v>
      </c>
    </row>
    <row r="30" spans="1:6" ht="15">
      <c r="A30" s="9"/>
      <c r="B30" s="27" t="s">
        <v>27</v>
      </c>
      <c r="C30" s="27"/>
      <c r="D30" s="48">
        <f>D26+D28</f>
        <v>63.42</v>
      </c>
      <c r="E30" s="12">
        <f>E26+E28</f>
        <v>0.06999999999999999</v>
      </c>
      <c r="F30" s="6"/>
    </row>
    <row r="31" ht="15">
      <c r="B31" s="59"/>
    </row>
    <row r="32" spans="1:6" ht="18.75" customHeight="1">
      <c r="A32" s="2"/>
      <c r="B32" s="1" t="s">
        <v>268</v>
      </c>
      <c r="C32" s="4"/>
      <c r="D32" s="5">
        <v>113.1</v>
      </c>
      <c r="E32" s="6" t="s">
        <v>2</v>
      </c>
      <c r="F32" s="2"/>
    </row>
    <row r="33" spans="1:6" ht="9" customHeight="1">
      <c r="A33" s="2"/>
      <c r="B33" s="7"/>
      <c r="C33" s="2"/>
      <c r="D33" s="2"/>
      <c r="E33" s="2"/>
      <c r="F33" s="2"/>
    </row>
    <row r="34" spans="1:6" ht="30.75" customHeight="1">
      <c r="A34" s="138" t="s">
        <v>3</v>
      </c>
      <c r="B34" s="138"/>
      <c r="C34" s="138"/>
      <c r="D34" s="138"/>
      <c r="E34" s="138"/>
      <c r="F34" s="2"/>
    </row>
    <row r="35" spans="1:6" ht="11.25" customHeight="1">
      <c r="A35" s="1"/>
      <c r="B35" s="1"/>
      <c r="C35" s="1"/>
      <c r="D35" s="1"/>
      <c r="E35" s="1"/>
      <c r="F35" s="2"/>
    </row>
    <row r="36" spans="1:6" ht="71.25">
      <c r="A36" s="8"/>
      <c r="B36" s="9" t="s">
        <v>4</v>
      </c>
      <c r="C36" s="9" t="s">
        <v>5</v>
      </c>
      <c r="D36" s="9" t="s">
        <v>6</v>
      </c>
      <c r="E36" s="9" t="s">
        <v>7</v>
      </c>
      <c r="F36" s="2"/>
    </row>
    <row r="37" spans="1:8" ht="15">
      <c r="A37" s="140" t="s">
        <v>233</v>
      </c>
      <c r="B37" s="141"/>
      <c r="C37" s="142"/>
      <c r="D37" s="12">
        <f>SUM(D38:D39)</f>
        <v>888.1702093879337</v>
      </c>
      <c r="E37" s="12">
        <f>SUM(E38:E39)</f>
        <v>0.6544136526583657</v>
      </c>
      <c r="F37" s="19"/>
      <c r="G37" s="108"/>
      <c r="H37" s="108"/>
    </row>
    <row r="38" spans="1:7" ht="15.75" customHeight="1">
      <c r="A38" s="15">
        <v>1</v>
      </c>
      <c r="B38" s="8" t="s">
        <v>12</v>
      </c>
      <c r="C38" s="16" t="s">
        <v>13</v>
      </c>
      <c r="D38" s="17">
        <f>E38*12*$D$32</f>
        <v>812.5985447282102</v>
      </c>
      <c r="E38" s="60">
        <v>0.5987316126792</v>
      </c>
      <c r="F38" s="21"/>
      <c r="G38" s="108"/>
    </row>
    <row r="39" spans="1:7" ht="30">
      <c r="A39" s="15">
        <v>2</v>
      </c>
      <c r="B39" s="22" t="s">
        <v>14</v>
      </c>
      <c r="C39" s="22" t="s">
        <v>15</v>
      </c>
      <c r="D39" s="17">
        <f>E39*12*$D$32</f>
        <v>75.57166465972357</v>
      </c>
      <c r="E39" s="60">
        <v>0.05568203997916561</v>
      </c>
      <c r="F39" s="21"/>
      <c r="G39" s="108"/>
    </row>
    <row r="40" spans="1:6" ht="18.75" customHeight="1">
      <c r="A40" s="140" t="s">
        <v>64</v>
      </c>
      <c r="B40" s="143"/>
      <c r="C40" s="144"/>
      <c r="D40" s="23">
        <f>SUM(D41:D42)</f>
        <v>85.67563517824212</v>
      </c>
      <c r="E40" s="23">
        <f>SUM(E41:E42)</f>
        <v>0.06312675742576049</v>
      </c>
      <c r="F40" s="21"/>
    </row>
    <row r="41" spans="1:7" ht="33" customHeight="1">
      <c r="A41" s="15">
        <v>3</v>
      </c>
      <c r="B41" s="22" t="s">
        <v>17</v>
      </c>
      <c r="C41" s="22" t="s">
        <v>18</v>
      </c>
      <c r="D41" s="17">
        <f>E41*12*$D$32</f>
        <v>47.190229951249215</v>
      </c>
      <c r="E41" s="60">
        <v>0.0347702843731574</v>
      </c>
      <c r="F41" s="13"/>
      <c r="G41" s="116"/>
    </row>
    <row r="42" spans="1:6" ht="60">
      <c r="A42" s="15">
        <v>4</v>
      </c>
      <c r="B42" s="22" t="s">
        <v>19</v>
      </c>
      <c r="C42" s="22" t="s">
        <v>18</v>
      </c>
      <c r="D42" s="17">
        <f>E42*12*$D$32</f>
        <v>38.4854052269929</v>
      </c>
      <c r="E42" s="60">
        <v>0.02835647305260308</v>
      </c>
      <c r="F42" s="2"/>
    </row>
    <row r="43" spans="1:8" ht="15">
      <c r="A43" s="145" t="s">
        <v>67</v>
      </c>
      <c r="B43" s="146"/>
      <c r="C43" s="146"/>
      <c r="D43" s="24">
        <f>SUM(D44:D45)</f>
        <v>335.3646524584579</v>
      </c>
      <c r="E43" s="24">
        <f>SUM(E44:E45)</f>
        <v>0.24710039232129233</v>
      </c>
      <c r="F43" s="2"/>
      <c r="H43" s="64"/>
    </row>
    <row r="44" spans="1:10" ht="60">
      <c r="A44" s="15">
        <v>5</v>
      </c>
      <c r="B44" s="22" t="s">
        <v>86</v>
      </c>
      <c r="C44" s="22" t="s">
        <v>18</v>
      </c>
      <c r="D44" s="17">
        <f>E44*12*$D$32</f>
        <v>13.17696315459757</v>
      </c>
      <c r="E44" s="60">
        <v>0.009708932474651908</v>
      </c>
      <c r="F44" s="2"/>
      <c r="G44" s="64"/>
      <c r="H44" s="85"/>
      <c r="J44" s="65"/>
    </row>
    <row r="45" spans="1:14" ht="60">
      <c r="A45" s="15">
        <v>6</v>
      </c>
      <c r="B45" s="22" t="s">
        <v>22</v>
      </c>
      <c r="C45" s="22" t="s">
        <v>87</v>
      </c>
      <c r="D45" s="17">
        <f>E45*12*$D$32</f>
        <v>322.18768930386034</v>
      </c>
      <c r="E45" s="60">
        <v>0.23739145984664042</v>
      </c>
      <c r="F45" s="2"/>
      <c r="G45" s="64"/>
      <c r="H45" s="85"/>
      <c r="J45" s="65"/>
      <c r="N45" s="14"/>
    </row>
    <row r="46" spans="1:8" ht="15">
      <c r="A46" s="145" t="s">
        <v>70</v>
      </c>
      <c r="B46" s="145"/>
      <c r="C46" s="145"/>
      <c r="D46" s="25">
        <f>SUM(D47)</f>
        <v>179.72704785921485</v>
      </c>
      <c r="E46" s="23">
        <f>SUM(E47)</f>
        <v>0.1324248805328727</v>
      </c>
      <c r="F46" s="2"/>
      <c r="G46" s="107"/>
      <c r="H46" s="64"/>
    </row>
    <row r="47" spans="1:8" ht="15">
      <c r="A47" s="15">
        <v>7</v>
      </c>
      <c r="B47" s="22" t="s">
        <v>25</v>
      </c>
      <c r="C47" s="22" t="s">
        <v>26</v>
      </c>
      <c r="D47" s="17">
        <f>E47*12*$D$32</f>
        <v>179.72704785921485</v>
      </c>
      <c r="E47" s="60">
        <v>0.1324248805328727</v>
      </c>
      <c r="F47" s="2"/>
      <c r="G47" s="113"/>
      <c r="H47" s="85"/>
    </row>
    <row r="48" spans="1:8" ht="15">
      <c r="A48" s="9"/>
      <c r="B48" s="27" t="s">
        <v>27</v>
      </c>
      <c r="C48" s="27"/>
      <c r="D48" s="48">
        <f>D40+D43+D46+D37</f>
        <v>1488.9375448838487</v>
      </c>
      <c r="E48" s="12">
        <f>E40+E43+E46+E37</f>
        <v>1.0970656829382912</v>
      </c>
      <c r="F48" s="6"/>
      <c r="G48" s="107"/>
      <c r="H48" s="64"/>
    </row>
    <row r="49" spans="1:6" ht="15">
      <c r="A49" s="29"/>
      <c r="B49" s="30"/>
      <c r="C49" s="31"/>
      <c r="D49" s="32"/>
      <c r="E49" s="33"/>
      <c r="F49" s="2"/>
    </row>
    <row r="50" spans="1:6" ht="29.25">
      <c r="A50" s="29"/>
      <c r="B50" s="30" t="s">
        <v>37</v>
      </c>
      <c r="C50" s="115">
        <f>D48</f>
        <v>1488.9375448838487</v>
      </c>
      <c r="D50" s="43"/>
      <c r="E50" s="43"/>
      <c r="F50" s="42"/>
    </row>
    <row r="51" spans="1:6" ht="15">
      <c r="A51" s="29"/>
      <c r="B51" s="30" t="s">
        <v>38</v>
      </c>
      <c r="C51" s="44">
        <f>E48</f>
        <v>1.0970656829382912</v>
      </c>
      <c r="D51" s="42"/>
      <c r="E51" s="42"/>
      <c r="F51" s="42"/>
    </row>
    <row r="52" spans="1:6" ht="9" customHeight="1">
      <c r="A52" s="29"/>
      <c r="B52" s="30"/>
      <c r="C52" s="44"/>
      <c r="D52" s="42"/>
      <c r="E52" s="42"/>
      <c r="F52" s="42"/>
    </row>
    <row r="53" spans="1:6" ht="33" customHeight="1">
      <c r="A53" s="138" t="s">
        <v>39</v>
      </c>
      <c r="B53" s="138"/>
      <c r="C53" s="138"/>
      <c r="D53" s="138"/>
      <c r="E53" s="138"/>
      <c r="F53" s="138"/>
    </row>
    <row r="54" spans="1:6" ht="15">
      <c r="A54" s="1"/>
      <c r="B54" s="1"/>
      <c r="C54" s="1"/>
      <c r="D54" s="2"/>
      <c r="E54" s="2"/>
      <c r="F54" s="2"/>
    </row>
    <row r="55" spans="1:6" ht="71.25">
      <c r="A55" s="8"/>
      <c r="B55" s="9" t="s">
        <v>4</v>
      </c>
      <c r="C55" s="9" t="s">
        <v>5</v>
      </c>
      <c r="D55" s="9" t="s">
        <v>6</v>
      </c>
      <c r="E55" s="9" t="s">
        <v>7</v>
      </c>
      <c r="F55" s="2"/>
    </row>
    <row r="56" spans="1:5" ht="30" customHeight="1">
      <c r="A56" s="139" t="s">
        <v>40</v>
      </c>
      <c r="B56" s="139"/>
      <c r="C56" s="139"/>
      <c r="D56" s="12">
        <f>D57</f>
        <v>9.06</v>
      </c>
      <c r="E56" s="12">
        <f>E57</f>
        <v>0.01</v>
      </c>
    </row>
    <row r="57" spans="1:5" ht="30">
      <c r="A57" s="15">
        <v>1</v>
      </c>
      <c r="B57" s="45" t="s">
        <v>41</v>
      </c>
      <c r="C57" s="45" t="s">
        <v>42</v>
      </c>
      <c r="D57" s="17">
        <f>E57*12*$D$2</f>
        <v>9.06</v>
      </c>
      <c r="E57" s="46">
        <v>0.01</v>
      </c>
    </row>
    <row r="58" spans="1:5" ht="32.25" customHeight="1">
      <c r="A58" s="139" t="s">
        <v>43</v>
      </c>
      <c r="B58" s="139"/>
      <c r="C58" s="139"/>
      <c r="D58" s="12">
        <f>D59</f>
        <v>54.36</v>
      </c>
      <c r="E58" s="12">
        <f>E59</f>
        <v>0.06</v>
      </c>
    </row>
    <row r="59" spans="1:5" ht="15">
      <c r="A59" s="15">
        <v>2</v>
      </c>
      <c r="B59" s="47" t="s">
        <v>46</v>
      </c>
      <c r="C59" s="8" t="s">
        <v>213</v>
      </c>
      <c r="D59" s="17">
        <f>E59*$D$2*12</f>
        <v>54.36</v>
      </c>
      <c r="E59" s="18">
        <v>0.06</v>
      </c>
    </row>
    <row r="60" spans="1:6" ht="15">
      <c r="A60" s="9"/>
      <c r="B60" s="27" t="s">
        <v>27</v>
      </c>
      <c r="C60" s="27"/>
      <c r="D60" s="48">
        <f>D56+D58</f>
        <v>63.42</v>
      </c>
      <c r="E60" s="12">
        <f>E56+E58</f>
        <v>0.06999999999999999</v>
      </c>
      <c r="F60" s="6"/>
    </row>
    <row r="61" spans="1:6" ht="18.75" customHeight="1">
      <c r="A61" s="2"/>
      <c r="B61" s="1" t="s">
        <v>269</v>
      </c>
      <c r="C61" s="4"/>
      <c r="D61" s="5">
        <v>113.1</v>
      </c>
      <c r="E61" s="6" t="s">
        <v>2</v>
      </c>
      <c r="F61" s="2"/>
    </row>
    <row r="62" spans="1:6" ht="21.75" customHeight="1">
      <c r="A62" s="2"/>
      <c r="B62" s="7"/>
      <c r="C62" s="2"/>
      <c r="D62" s="2"/>
      <c r="E62" s="2"/>
      <c r="F62" s="2"/>
    </row>
    <row r="63" spans="1:6" ht="30.75" customHeight="1">
      <c r="A63" s="138" t="s">
        <v>3</v>
      </c>
      <c r="B63" s="138"/>
      <c r="C63" s="138"/>
      <c r="D63" s="138"/>
      <c r="E63" s="138"/>
      <c r="F63" s="2"/>
    </row>
    <row r="64" spans="1:6" ht="28.5" customHeight="1">
      <c r="A64" s="1"/>
      <c r="B64" s="1"/>
      <c r="C64" s="1"/>
      <c r="D64" s="1"/>
      <c r="E64" s="1"/>
      <c r="F64" s="2"/>
    </row>
    <row r="65" spans="1:6" ht="71.25">
      <c r="A65" s="8"/>
      <c r="B65" s="9" t="s">
        <v>4</v>
      </c>
      <c r="C65" s="9" t="s">
        <v>5</v>
      </c>
      <c r="D65" s="9" t="s">
        <v>6</v>
      </c>
      <c r="E65" s="9" t="s">
        <v>7</v>
      </c>
      <c r="F65" s="2"/>
    </row>
    <row r="66" spans="1:8" ht="15">
      <c r="A66" s="140" t="s">
        <v>233</v>
      </c>
      <c r="B66" s="141"/>
      <c r="C66" s="142"/>
      <c r="D66" s="12">
        <f>SUM(D67:D68)</f>
        <v>1332.2553140819011</v>
      </c>
      <c r="E66" s="12">
        <f>SUM(E67:E68)</f>
        <v>0.9816204789875487</v>
      </c>
      <c r="F66" s="19"/>
      <c r="G66" s="108"/>
      <c r="H66" s="108"/>
    </row>
    <row r="67" spans="1:7" ht="15.75" customHeight="1">
      <c r="A67" s="15">
        <v>1</v>
      </c>
      <c r="B67" s="8" t="s">
        <v>12</v>
      </c>
      <c r="C67" s="16" t="s">
        <v>13</v>
      </c>
      <c r="D67" s="17">
        <f>E67*12*$D$32</f>
        <v>1218.8978170923158</v>
      </c>
      <c r="E67" s="60">
        <v>0.8980974190188002</v>
      </c>
      <c r="F67" s="21"/>
      <c r="G67" s="108"/>
    </row>
    <row r="68" spans="1:7" ht="30">
      <c r="A68" s="15">
        <v>2</v>
      </c>
      <c r="B68" s="22" t="s">
        <v>14</v>
      </c>
      <c r="C68" s="22" t="s">
        <v>15</v>
      </c>
      <c r="D68" s="17">
        <f>E68*12*$D$32</f>
        <v>113.35749698958536</v>
      </c>
      <c r="E68" s="60">
        <v>0.08352305996874843</v>
      </c>
      <c r="F68" s="21"/>
      <c r="G68" s="108"/>
    </row>
    <row r="69" spans="1:6" ht="18.75" customHeight="1">
      <c r="A69" s="140" t="s">
        <v>64</v>
      </c>
      <c r="B69" s="143"/>
      <c r="C69" s="144"/>
      <c r="D69" s="23">
        <f>SUM(D70:D71)</f>
        <v>104.91833779173857</v>
      </c>
      <c r="E69" s="23">
        <f>SUM(E70:E71)</f>
        <v>0.07730499395206203</v>
      </c>
      <c r="F69" s="21"/>
    </row>
    <row r="70" spans="1:7" ht="29.25" customHeight="1">
      <c r="A70" s="15">
        <v>3</v>
      </c>
      <c r="B70" s="22" t="s">
        <v>17</v>
      </c>
      <c r="C70" s="22" t="s">
        <v>18</v>
      </c>
      <c r="D70" s="17">
        <f>E70*12*$D$32</f>
        <v>47.190229951249215</v>
      </c>
      <c r="E70" s="60">
        <v>0.0347702843731574</v>
      </c>
      <c r="F70" s="13"/>
      <c r="G70" s="116"/>
    </row>
    <row r="71" spans="1:6" ht="60">
      <c r="A71" s="15">
        <v>4</v>
      </c>
      <c r="B71" s="22" t="s">
        <v>19</v>
      </c>
      <c r="C71" s="22" t="s">
        <v>18</v>
      </c>
      <c r="D71" s="17">
        <f>E71*12*$D$32</f>
        <v>57.72810784048935</v>
      </c>
      <c r="E71" s="60">
        <v>0.04253470957890462</v>
      </c>
      <c r="F71" s="2"/>
    </row>
    <row r="72" spans="1:8" ht="15">
      <c r="A72" s="145" t="s">
        <v>67</v>
      </c>
      <c r="B72" s="146"/>
      <c r="C72" s="146"/>
      <c r="D72" s="24">
        <f>SUM(D73:D74)</f>
        <v>415.35089837809653</v>
      </c>
      <c r="E72" s="24">
        <f>SUM(E73:E74)</f>
        <v>0.30603514469355775</v>
      </c>
      <c r="F72" s="2"/>
      <c r="H72" s="64"/>
    </row>
    <row r="73" spans="1:10" ht="60">
      <c r="A73" s="15">
        <v>5</v>
      </c>
      <c r="B73" s="22" t="s">
        <v>86</v>
      </c>
      <c r="C73" s="22" t="s">
        <v>18</v>
      </c>
      <c r="D73" s="17">
        <f>E73*12*$D$32</f>
        <v>16.063368546622034</v>
      </c>
      <c r="E73" s="60">
        <v>0.011835667953597138</v>
      </c>
      <c r="F73" s="2"/>
      <c r="G73" s="85"/>
      <c r="H73" s="85"/>
      <c r="J73" s="65"/>
    </row>
    <row r="74" spans="1:14" ht="60">
      <c r="A74" s="15">
        <v>6</v>
      </c>
      <c r="B74" s="22" t="s">
        <v>22</v>
      </c>
      <c r="C74" s="22" t="s">
        <v>87</v>
      </c>
      <c r="D74" s="17">
        <f>E74*12*$D$32</f>
        <v>399.2875298314745</v>
      </c>
      <c r="E74" s="60">
        <v>0.2941994767399606</v>
      </c>
      <c r="F74" s="2"/>
      <c r="G74" s="64"/>
      <c r="H74" s="85"/>
      <c r="J74" s="65"/>
      <c r="N74" s="14"/>
    </row>
    <row r="75" spans="1:8" ht="15">
      <c r="A75" s="145" t="s">
        <v>70</v>
      </c>
      <c r="B75" s="145"/>
      <c r="C75" s="145"/>
      <c r="D75" s="25">
        <f>SUM(D76)</f>
        <v>268.01171063919037</v>
      </c>
      <c r="E75" s="23">
        <f>SUM(E76)</f>
        <v>0.1974739984078915</v>
      </c>
      <c r="F75" s="2"/>
      <c r="G75" s="107"/>
      <c r="H75" s="64"/>
    </row>
    <row r="76" spans="1:14" ht="15">
      <c r="A76" s="15">
        <v>7</v>
      </c>
      <c r="B76" s="22" t="s">
        <v>25</v>
      </c>
      <c r="C76" s="22" t="s">
        <v>26</v>
      </c>
      <c r="D76" s="17">
        <f>E76*12*$D$32</f>
        <v>268.01171063919037</v>
      </c>
      <c r="E76" s="83">
        <v>0.1974739984078915</v>
      </c>
      <c r="F76" s="2"/>
      <c r="G76" s="113"/>
      <c r="H76" s="85"/>
      <c r="J76" s="85"/>
      <c r="K76" s="85"/>
      <c r="L76" s="85"/>
      <c r="M76" s="113"/>
      <c r="N76" s="65"/>
    </row>
    <row r="77" spans="1:8" ht="15">
      <c r="A77" s="9"/>
      <c r="B77" s="27" t="s">
        <v>27</v>
      </c>
      <c r="C77" s="27"/>
      <c r="D77" s="48">
        <f>D69+D72+D75+D66</f>
        <v>2120.5362608909263</v>
      </c>
      <c r="E77" s="12">
        <f>E69+E72+E75+E66</f>
        <v>1.56243461604106</v>
      </c>
      <c r="F77" s="6"/>
      <c r="G77" s="107"/>
      <c r="H77" s="64"/>
    </row>
    <row r="78" spans="1:6" ht="26.25" customHeight="1">
      <c r="A78" s="29"/>
      <c r="B78" s="30"/>
      <c r="C78" s="31"/>
      <c r="D78" s="32"/>
      <c r="E78" s="33"/>
      <c r="F78" s="2"/>
    </row>
    <row r="79" spans="1:6" ht="29.25" customHeight="1">
      <c r="A79" s="29"/>
      <c r="B79" s="30" t="s">
        <v>37</v>
      </c>
      <c r="C79" s="43">
        <f>D77</f>
        <v>2120.5362608909263</v>
      </c>
      <c r="D79" s="43"/>
      <c r="E79" s="43"/>
      <c r="F79" s="42"/>
    </row>
    <row r="80" spans="1:6" ht="23.25" customHeight="1">
      <c r="A80" s="29"/>
      <c r="B80" s="30" t="s">
        <v>38</v>
      </c>
      <c r="C80" s="117">
        <f>E77</f>
        <v>1.56243461604106</v>
      </c>
      <c r="D80" s="42"/>
      <c r="E80" s="42"/>
      <c r="F80" s="42"/>
    </row>
    <row r="81" spans="1:6" ht="27" customHeight="1">
      <c r="A81" s="29"/>
      <c r="B81" s="30"/>
      <c r="C81" s="44"/>
      <c r="D81" s="42"/>
      <c r="E81" s="42"/>
      <c r="F81" s="42"/>
    </row>
    <row r="82" spans="1:6" ht="33" customHeight="1">
      <c r="A82" s="138" t="s">
        <v>39</v>
      </c>
      <c r="B82" s="138"/>
      <c r="C82" s="138"/>
      <c r="D82" s="138"/>
      <c r="E82" s="138"/>
      <c r="F82" s="138"/>
    </row>
    <row r="83" spans="1:6" ht="15">
      <c r="A83" s="1"/>
      <c r="B83" s="1"/>
      <c r="C83" s="1"/>
      <c r="D83" s="2"/>
      <c r="E83" s="2"/>
      <c r="F83" s="2"/>
    </row>
    <row r="84" spans="1:6" ht="71.25">
      <c r="A84" s="8"/>
      <c r="B84" s="9" t="s">
        <v>4</v>
      </c>
      <c r="C84" s="9" t="s">
        <v>5</v>
      </c>
      <c r="D84" s="9" t="s">
        <v>6</v>
      </c>
      <c r="E84" s="9" t="s">
        <v>7</v>
      </c>
      <c r="F84" s="2"/>
    </row>
    <row r="85" spans="1:5" ht="30" customHeight="1">
      <c r="A85" s="139" t="s">
        <v>40</v>
      </c>
      <c r="B85" s="139"/>
      <c r="C85" s="139"/>
      <c r="D85" s="12">
        <f>D86</f>
        <v>9.06</v>
      </c>
      <c r="E85" s="12">
        <f>E86</f>
        <v>0.01</v>
      </c>
    </row>
    <row r="86" spans="1:5" ht="30">
      <c r="A86" s="15">
        <v>1</v>
      </c>
      <c r="B86" s="45" t="s">
        <v>41</v>
      </c>
      <c r="C86" s="45" t="s">
        <v>42</v>
      </c>
      <c r="D86" s="17">
        <f>E86*12*$D$2</f>
        <v>9.06</v>
      </c>
      <c r="E86" s="46">
        <v>0.01</v>
      </c>
    </row>
    <row r="87" spans="1:5" ht="32.25" customHeight="1">
      <c r="A87" s="139" t="s">
        <v>43</v>
      </c>
      <c r="B87" s="139"/>
      <c r="C87" s="139"/>
      <c r="D87" s="12">
        <f>D88</f>
        <v>54.36</v>
      </c>
      <c r="E87" s="12">
        <f>E88</f>
        <v>0.06</v>
      </c>
    </row>
    <row r="88" spans="1:5" ht="15">
      <c r="A88" s="15">
        <v>2</v>
      </c>
      <c r="B88" s="47" t="s">
        <v>46</v>
      </c>
      <c r="C88" s="8" t="s">
        <v>213</v>
      </c>
      <c r="D88" s="17">
        <f>E88*$D$2*12</f>
        <v>54.36</v>
      </c>
      <c r="E88" s="18">
        <v>0.06</v>
      </c>
    </row>
    <row r="89" spans="1:6" ht="15">
      <c r="A89" s="9"/>
      <c r="B89" s="27" t="s">
        <v>27</v>
      </c>
      <c r="C89" s="27"/>
      <c r="D89" s="48">
        <f>D85+D87</f>
        <v>63.42</v>
      </c>
      <c r="E89" s="12">
        <f>E85+E87</f>
        <v>0.06999999999999999</v>
      </c>
      <c r="F89" s="6"/>
    </row>
    <row r="91" spans="1:3" ht="30" customHeight="1">
      <c r="A91" s="149" t="s">
        <v>270</v>
      </c>
      <c r="B91" s="151"/>
      <c r="C91" s="118">
        <v>4593</v>
      </c>
    </row>
  </sheetData>
  <mergeCells count="25">
    <mergeCell ref="A91:B91"/>
    <mergeCell ref="A75:C75"/>
    <mergeCell ref="A82:F82"/>
    <mergeCell ref="A85:C85"/>
    <mergeCell ref="A87:C87"/>
    <mergeCell ref="A63:E63"/>
    <mergeCell ref="A66:C66"/>
    <mergeCell ref="A69:C69"/>
    <mergeCell ref="A72:C72"/>
    <mergeCell ref="A46:C46"/>
    <mergeCell ref="A53:F53"/>
    <mergeCell ref="A56:C56"/>
    <mergeCell ref="A58:C58"/>
    <mergeCell ref="A34:E34"/>
    <mergeCell ref="A37:C37"/>
    <mergeCell ref="A40:C40"/>
    <mergeCell ref="A43:C43"/>
    <mergeCell ref="A16:C16"/>
    <mergeCell ref="A23:F23"/>
    <mergeCell ref="A26:C26"/>
    <mergeCell ref="A28:C28"/>
    <mergeCell ref="A4:E4"/>
    <mergeCell ref="A7:C7"/>
    <mergeCell ref="A10:C10"/>
    <mergeCell ref="A13:C1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N93"/>
  <sheetViews>
    <sheetView zoomScale="75" zoomScaleNormal="75" workbookViewId="0" topLeftCell="A79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271</v>
      </c>
    </row>
    <row r="2" spans="1:6" ht="18" customHeight="1">
      <c r="A2" s="2"/>
      <c r="B2" s="1" t="s">
        <v>272</v>
      </c>
      <c r="C2" s="4"/>
      <c r="D2" s="5">
        <v>80.8</v>
      </c>
      <c r="E2" s="6" t="s">
        <v>2</v>
      </c>
      <c r="F2" s="2"/>
    </row>
    <row r="3" spans="1:6" ht="9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9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8" ht="15">
      <c r="A7" s="140" t="s">
        <v>233</v>
      </c>
      <c r="B7" s="141"/>
      <c r="C7" s="142"/>
      <c r="D7" s="12">
        <f>SUM(D8:D9)</f>
        <v>888.1702093879337</v>
      </c>
      <c r="E7" s="12">
        <f>SUM(E8:E9)</f>
        <v>0.9160171301443213</v>
      </c>
      <c r="F7" s="19"/>
      <c r="G7" s="108"/>
      <c r="H7" s="108"/>
    </row>
    <row r="8" spans="1:7" ht="15.75" customHeight="1">
      <c r="A8" s="15">
        <v>1</v>
      </c>
      <c r="B8" s="8" t="s">
        <v>12</v>
      </c>
      <c r="C8" s="16" t="s">
        <v>13</v>
      </c>
      <c r="D8" s="17">
        <f>E8*12*$D$2</f>
        <v>812.5985447282102</v>
      </c>
      <c r="E8" s="60">
        <v>0.8380760568566525</v>
      </c>
      <c r="F8" s="21"/>
      <c r="G8" s="108"/>
    </row>
    <row r="9" spans="1:7" ht="30">
      <c r="A9" s="15">
        <v>2</v>
      </c>
      <c r="B9" s="22" t="s">
        <v>14</v>
      </c>
      <c r="C9" s="22" t="s">
        <v>15</v>
      </c>
      <c r="D9" s="17">
        <f>E9*12*$D$2</f>
        <v>75.57166465972358</v>
      </c>
      <c r="E9" s="60">
        <v>0.07794107328766871</v>
      </c>
      <c r="F9" s="21"/>
      <c r="G9" s="108"/>
    </row>
    <row r="10" spans="1:6" ht="15.75" customHeight="1">
      <c r="A10" s="140" t="s">
        <v>64</v>
      </c>
      <c r="B10" s="143"/>
      <c r="C10" s="144"/>
      <c r="D10" s="23">
        <f>SUM(D11:D12)</f>
        <v>85.67563517824212</v>
      </c>
      <c r="E10" s="23">
        <f>SUM(E11:E12)</f>
        <v>0.08836183496105829</v>
      </c>
      <c r="F10" s="21"/>
    </row>
    <row r="11" spans="1:7" ht="32.25" customHeight="1">
      <c r="A11" s="15">
        <v>3</v>
      </c>
      <c r="B11" s="22" t="s">
        <v>17</v>
      </c>
      <c r="C11" s="22" t="s">
        <v>18</v>
      </c>
      <c r="D11" s="17">
        <f>E11*12*$D$2</f>
        <v>47.190229951249215</v>
      </c>
      <c r="E11" s="60">
        <v>0.048669791616387396</v>
      </c>
      <c r="F11" s="13"/>
      <c r="G11" s="116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38.485405226992896</v>
      </c>
      <c r="E12" s="60">
        <v>0.03969204334467089</v>
      </c>
      <c r="F12" s="2"/>
    </row>
    <row r="13" spans="1:8" ht="15">
      <c r="A13" s="145" t="s">
        <v>67</v>
      </c>
      <c r="B13" s="146"/>
      <c r="C13" s="146"/>
      <c r="D13" s="24">
        <f>SUM(D14:D15)</f>
        <v>287.38929731760186</v>
      </c>
      <c r="E13" s="24">
        <f>SUM(E14:E15)</f>
        <v>0.29639985284406134</v>
      </c>
      <c r="F13" s="2"/>
      <c r="G13" s="64"/>
      <c r="H13" s="64"/>
    </row>
    <row r="14" spans="1:10" ht="60">
      <c r="A14" s="15">
        <v>5</v>
      </c>
      <c r="B14" s="22" t="s">
        <v>86</v>
      </c>
      <c r="C14" s="22" t="s">
        <v>18</v>
      </c>
      <c r="D14" s="17">
        <f>E14*12*$D$2</f>
        <v>13.17696315459757</v>
      </c>
      <c r="E14" s="60">
        <v>0.013590102263405084</v>
      </c>
      <c r="F14" s="2"/>
      <c r="G14" s="64"/>
      <c r="H14" s="64"/>
      <c r="J14" s="65"/>
    </row>
    <row r="15" spans="1:14" ht="60">
      <c r="A15" s="15">
        <v>6</v>
      </c>
      <c r="B15" s="22" t="s">
        <v>22</v>
      </c>
      <c r="C15" s="22" t="s">
        <v>87</v>
      </c>
      <c r="D15" s="17">
        <f>E15*12*$D$2</f>
        <v>274.2123341630043</v>
      </c>
      <c r="E15" s="60">
        <v>0.28280975058065627</v>
      </c>
      <c r="F15" s="2"/>
      <c r="G15" s="64"/>
      <c r="H15" s="64"/>
      <c r="J15" s="65"/>
      <c r="N15" s="14"/>
    </row>
    <row r="16" spans="1:6" ht="15">
      <c r="A16" s="145" t="s">
        <v>70</v>
      </c>
      <c r="B16" s="145"/>
      <c r="C16" s="145"/>
      <c r="D16" s="25">
        <f>SUM(D17)</f>
        <v>189.25891533245726</v>
      </c>
      <c r="E16" s="23">
        <f>SUM(E17)</f>
        <v>0.195192775714168</v>
      </c>
      <c r="F16" s="2"/>
    </row>
    <row r="17" spans="1:8" ht="15">
      <c r="A17" s="15">
        <v>7</v>
      </c>
      <c r="B17" s="22" t="s">
        <v>25</v>
      </c>
      <c r="C17" s="22" t="s">
        <v>26</v>
      </c>
      <c r="D17" s="17">
        <f>E17*12*$D$2</f>
        <v>189.25891533245726</v>
      </c>
      <c r="E17" s="60">
        <f>0.184592775714168+0.0106</f>
        <v>0.195192775714168</v>
      </c>
      <c r="F17" s="2"/>
      <c r="G17" s="107"/>
      <c r="H17" s="64"/>
    </row>
    <row r="18" spans="1:8" ht="15">
      <c r="A18" s="9"/>
      <c r="B18" s="27" t="s">
        <v>27</v>
      </c>
      <c r="C18" s="27"/>
      <c r="D18" s="74">
        <f>D10+D13+D16+D7</f>
        <v>1450.494057216235</v>
      </c>
      <c r="E18" s="12">
        <f>E10+E13+E16+E7</f>
        <v>1.4959715936636089</v>
      </c>
      <c r="F18" s="6"/>
      <c r="G18" s="107"/>
      <c r="H18" s="64"/>
    </row>
    <row r="19" spans="1:6" ht="15">
      <c r="A19" s="29"/>
      <c r="B19" s="30"/>
      <c r="C19" s="31"/>
      <c r="D19" s="32"/>
      <c r="E19" s="33"/>
      <c r="F19" s="2"/>
    </row>
    <row r="20" spans="1:6" ht="29.25">
      <c r="A20" s="29"/>
      <c r="B20" s="30" t="s">
        <v>37</v>
      </c>
      <c r="C20" s="43">
        <f>D18</f>
        <v>1450.494057216235</v>
      </c>
      <c r="D20" s="43"/>
      <c r="E20" s="43"/>
      <c r="F20" s="42"/>
    </row>
    <row r="21" spans="1:6" ht="15">
      <c r="A21" s="29"/>
      <c r="B21" s="30" t="s">
        <v>38</v>
      </c>
      <c r="C21" s="44">
        <f>E18</f>
        <v>1.4959715936636089</v>
      </c>
      <c r="D21" s="42"/>
      <c r="E21" s="42"/>
      <c r="F21" s="42"/>
    </row>
    <row r="22" spans="1:6" ht="15">
      <c r="A22" s="29"/>
      <c r="B22" s="30"/>
      <c r="C22" s="44"/>
      <c r="D22" s="42"/>
      <c r="E22" s="42"/>
      <c r="F22" s="42"/>
    </row>
    <row r="23" spans="1:6" ht="33" customHeight="1">
      <c r="A23" s="138" t="s">
        <v>39</v>
      </c>
      <c r="B23" s="138"/>
      <c r="C23" s="138"/>
      <c r="D23" s="138"/>
      <c r="E23" s="138"/>
      <c r="F23" s="138"/>
    </row>
    <row r="24" spans="1:6" ht="15">
      <c r="A24" s="1"/>
      <c r="B24" s="1"/>
      <c r="C24" s="1"/>
      <c r="D24" s="2"/>
      <c r="E24" s="2"/>
      <c r="F24" s="2"/>
    </row>
    <row r="25" spans="1:6" ht="71.25">
      <c r="A25" s="8"/>
      <c r="B25" s="9" t="s">
        <v>4</v>
      </c>
      <c r="C25" s="9" t="s">
        <v>5</v>
      </c>
      <c r="D25" s="9" t="s">
        <v>6</v>
      </c>
      <c r="E25" s="9" t="s">
        <v>7</v>
      </c>
      <c r="F25" s="2"/>
    </row>
    <row r="26" spans="1:5" ht="27.75" customHeight="1">
      <c r="A26" s="139" t="s">
        <v>40</v>
      </c>
      <c r="B26" s="139"/>
      <c r="C26" s="139"/>
      <c r="D26" s="12">
        <f>D27</f>
        <v>9.696</v>
      </c>
      <c r="E26" s="12">
        <f>E27</f>
        <v>0.01</v>
      </c>
    </row>
    <row r="27" spans="1:5" ht="30">
      <c r="A27" s="15">
        <v>1</v>
      </c>
      <c r="B27" s="45" t="s">
        <v>41</v>
      </c>
      <c r="C27" s="45" t="s">
        <v>42</v>
      </c>
      <c r="D27" s="17">
        <f>E27*12*$D$2</f>
        <v>9.696</v>
      </c>
      <c r="E27" s="46">
        <v>0.01</v>
      </c>
    </row>
    <row r="28" spans="1:5" ht="32.25" customHeight="1">
      <c r="A28" s="139" t="s">
        <v>43</v>
      </c>
      <c r="B28" s="139"/>
      <c r="C28" s="139"/>
      <c r="D28" s="12">
        <f>D29</f>
        <v>58.176</v>
      </c>
      <c r="E28" s="12">
        <f>E29</f>
        <v>0.06</v>
      </c>
    </row>
    <row r="29" spans="1:5" ht="15">
      <c r="A29" s="15">
        <v>2</v>
      </c>
      <c r="B29" s="47" t="s">
        <v>46</v>
      </c>
      <c r="C29" s="8" t="s">
        <v>213</v>
      </c>
      <c r="D29" s="17">
        <f>E29*$D$2*12</f>
        <v>58.176</v>
      </c>
      <c r="E29" s="18">
        <v>0.06</v>
      </c>
    </row>
    <row r="30" spans="1:6" ht="15">
      <c r="A30" s="9"/>
      <c r="B30" s="27" t="s">
        <v>27</v>
      </c>
      <c r="C30" s="27"/>
      <c r="D30" s="48">
        <f>D26+D28</f>
        <v>67.872</v>
      </c>
      <c r="E30" s="12">
        <f>E26+E28</f>
        <v>0.06999999999999999</v>
      </c>
      <c r="F30" s="6"/>
    </row>
    <row r="31" spans="1:6" ht="15">
      <c r="A31" s="2"/>
      <c r="B31" s="2"/>
      <c r="C31" s="2"/>
      <c r="D31" s="2"/>
      <c r="E31" s="2"/>
      <c r="F31" s="2"/>
    </row>
    <row r="32" spans="1:6" ht="18" customHeight="1">
      <c r="A32" s="2"/>
      <c r="B32" s="1" t="s">
        <v>273</v>
      </c>
      <c r="C32" s="4"/>
      <c r="D32" s="5">
        <v>73.3</v>
      </c>
      <c r="E32" s="6" t="s">
        <v>2</v>
      </c>
      <c r="F32" s="2"/>
    </row>
    <row r="33" spans="1:6" ht="9" customHeight="1">
      <c r="A33" s="2"/>
      <c r="B33" s="7"/>
      <c r="C33" s="2"/>
      <c r="D33" s="2"/>
      <c r="E33" s="2"/>
      <c r="F33" s="2"/>
    </row>
    <row r="34" spans="1:6" ht="33" customHeight="1">
      <c r="A34" s="138" t="s">
        <v>3</v>
      </c>
      <c r="B34" s="138"/>
      <c r="C34" s="138"/>
      <c r="D34" s="138"/>
      <c r="E34" s="138"/>
      <c r="F34" s="2"/>
    </row>
    <row r="35" spans="1:6" ht="9" customHeight="1">
      <c r="A35" s="1"/>
      <c r="B35" s="1"/>
      <c r="C35" s="1"/>
      <c r="D35" s="1"/>
      <c r="E35" s="1"/>
      <c r="F35" s="2"/>
    </row>
    <row r="36" spans="1:6" ht="71.25">
      <c r="A36" s="8"/>
      <c r="B36" s="9" t="s">
        <v>4</v>
      </c>
      <c r="C36" s="9" t="s">
        <v>5</v>
      </c>
      <c r="D36" s="9" t="s">
        <v>6</v>
      </c>
      <c r="E36" s="9" t="s">
        <v>7</v>
      </c>
      <c r="F36" s="2"/>
    </row>
    <row r="37" spans="1:8" ht="15">
      <c r="A37" s="140" t="s">
        <v>233</v>
      </c>
      <c r="B37" s="141"/>
      <c r="C37" s="142"/>
      <c r="D37" s="12">
        <f>SUM(D38:D39)</f>
        <v>740.1418411566116</v>
      </c>
      <c r="E37" s="12">
        <f>SUM(E38:E39)</f>
        <v>0.8414527525654976</v>
      </c>
      <c r="F37" s="19"/>
      <c r="G37" s="108"/>
      <c r="H37" s="108"/>
    </row>
    <row r="38" spans="1:7" ht="15.75" customHeight="1">
      <c r="A38" s="15">
        <v>1</v>
      </c>
      <c r="B38" s="8" t="s">
        <v>12</v>
      </c>
      <c r="C38" s="16" t="s">
        <v>13</v>
      </c>
      <c r="D38" s="17">
        <f>E38*12*$D$32</f>
        <v>677.1654539401753</v>
      </c>
      <c r="E38" s="120">
        <v>0.7698561322648652</v>
      </c>
      <c r="F38" s="21"/>
      <c r="G38" s="108"/>
    </row>
    <row r="39" spans="1:7" ht="30">
      <c r="A39" s="15">
        <v>2</v>
      </c>
      <c r="B39" s="22" t="s">
        <v>14</v>
      </c>
      <c r="C39" s="22" t="s">
        <v>15</v>
      </c>
      <c r="D39" s="17">
        <f>E39*12*$D$32</f>
        <v>62.976387216436294</v>
      </c>
      <c r="E39" s="120">
        <v>0.07159662030063245</v>
      </c>
      <c r="F39" s="21"/>
      <c r="G39" s="108"/>
    </row>
    <row r="40" spans="1:6" ht="15.75" customHeight="1">
      <c r="A40" s="140" t="s">
        <v>64</v>
      </c>
      <c r="B40" s="143"/>
      <c r="C40" s="144"/>
      <c r="D40" s="23">
        <f>SUM(D41:D42)</f>
        <v>85.67563517824212</v>
      </c>
      <c r="E40" s="23">
        <f>SUM(E41:E42)</f>
        <v>0.09740295040727845</v>
      </c>
      <c r="F40" s="21"/>
    </row>
    <row r="41" spans="1:7" ht="29.25" customHeight="1">
      <c r="A41" s="15">
        <v>3</v>
      </c>
      <c r="B41" s="22" t="s">
        <v>17</v>
      </c>
      <c r="C41" s="22" t="s">
        <v>18</v>
      </c>
      <c r="D41" s="17">
        <f>E41*12*$D$32</f>
        <v>47.19022995124923</v>
      </c>
      <c r="E41" s="120">
        <v>0.053649647511652146</v>
      </c>
      <c r="F41" s="13"/>
      <c r="G41" s="116"/>
    </row>
    <row r="42" spans="1:6" ht="60">
      <c r="A42" s="15">
        <v>4</v>
      </c>
      <c r="B42" s="22" t="s">
        <v>19</v>
      </c>
      <c r="C42" s="22" t="s">
        <v>18</v>
      </c>
      <c r="D42" s="17">
        <f>E42*12*$D$32</f>
        <v>38.485405226992896</v>
      </c>
      <c r="E42" s="120">
        <v>0.0437533028956263</v>
      </c>
      <c r="F42" s="2"/>
    </row>
    <row r="43" spans="1:8" ht="15">
      <c r="A43" s="145" t="s">
        <v>67</v>
      </c>
      <c r="B43" s="146"/>
      <c r="C43" s="146"/>
      <c r="D43" s="24">
        <f>SUM(D44:D45)</f>
        <v>276.2495089722019</v>
      </c>
      <c r="E43" s="24">
        <f>SUM(E44:E45)</f>
        <v>0.3140626523103705</v>
      </c>
      <c r="F43" s="2"/>
      <c r="G43" s="64"/>
      <c r="H43" s="64"/>
    </row>
    <row r="44" spans="1:10" ht="60">
      <c r="A44" s="15">
        <v>5</v>
      </c>
      <c r="B44" s="22" t="s">
        <v>86</v>
      </c>
      <c r="C44" s="22" t="s">
        <v>18</v>
      </c>
      <c r="D44" s="17">
        <f>E44*12*$D$32</f>
        <v>13.17696315459757</v>
      </c>
      <c r="E44" s="120">
        <v>0.014980631144381048</v>
      </c>
      <c r="F44" s="2"/>
      <c r="G44" s="85"/>
      <c r="H44" s="85"/>
      <c r="J44" s="65"/>
    </row>
    <row r="45" spans="1:14" ht="60">
      <c r="A45" s="15">
        <v>6</v>
      </c>
      <c r="B45" s="22" t="s">
        <v>22</v>
      </c>
      <c r="C45" s="22" t="s">
        <v>87</v>
      </c>
      <c r="D45" s="17">
        <f>E45*12*$D$32</f>
        <v>263.07254581760435</v>
      </c>
      <c r="E45" s="120">
        <v>0.2990820211659895</v>
      </c>
      <c r="F45" s="2"/>
      <c r="G45" s="85"/>
      <c r="H45" s="85"/>
      <c r="J45" s="65"/>
      <c r="N45" s="14"/>
    </row>
    <row r="46" spans="1:7" ht="15">
      <c r="A46" s="145" t="s">
        <v>70</v>
      </c>
      <c r="B46" s="145"/>
      <c r="C46" s="145"/>
      <c r="D46" s="25">
        <f>SUM(D47)</f>
        <v>177.1222227084215</v>
      </c>
      <c r="E46" s="23">
        <f>SUM(E47)</f>
        <v>0.201366783433858</v>
      </c>
      <c r="F46" s="2"/>
      <c r="G46" s="85"/>
    </row>
    <row r="47" spans="1:8" ht="15">
      <c r="A47" s="15">
        <v>7</v>
      </c>
      <c r="B47" s="22" t="s">
        <v>25</v>
      </c>
      <c r="C47" s="22" t="s">
        <v>26</v>
      </c>
      <c r="D47" s="17">
        <f>E47*12*$D$32</f>
        <v>177.1222227084215</v>
      </c>
      <c r="E47" s="120">
        <f>0.200666783433858+0.0007</f>
        <v>0.201366783433858</v>
      </c>
      <c r="F47" s="2"/>
      <c r="G47" s="107"/>
      <c r="H47" s="64"/>
    </row>
    <row r="48" spans="1:8" ht="15">
      <c r="A48" s="9"/>
      <c r="B48" s="27" t="s">
        <v>27</v>
      </c>
      <c r="C48" s="27"/>
      <c r="D48" s="12">
        <f>D40+D43+D46+D37</f>
        <v>1279.189208015477</v>
      </c>
      <c r="E48" s="12">
        <f>E40+E43+E46+E37</f>
        <v>1.4542851387170046</v>
      </c>
      <c r="F48" s="6"/>
      <c r="G48" s="121"/>
      <c r="H48" s="122"/>
    </row>
    <row r="49" spans="1:6" ht="9.75" customHeight="1">
      <c r="A49" s="29"/>
      <c r="B49" s="30"/>
      <c r="C49" s="31"/>
      <c r="D49" s="32"/>
      <c r="E49" s="33"/>
      <c r="F49" s="2"/>
    </row>
    <row r="50" spans="1:6" ht="29.25">
      <c r="A50" s="29"/>
      <c r="B50" s="30" t="s">
        <v>37</v>
      </c>
      <c r="C50" s="43">
        <f>D48</f>
        <v>1279.189208015477</v>
      </c>
      <c r="D50" s="43"/>
      <c r="E50" s="43"/>
      <c r="F50" s="42"/>
    </row>
    <row r="51" spans="1:6" ht="15">
      <c r="A51" s="29"/>
      <c r="B51" s="30" t="s">
        <v>38</v>
      </c>
      <c r="C51" s="44">
        <f>E48</f>
        <v>1.4542851387170046</v>
      </c>
      <c r="D51" s="42"/>
      <c r="E51" s="42"/>
      <c r="F51" s="42"/>
    </row>
    <row r="52" spans="1:6" ht="8.25" customHeight="1">
      <c r="A52" s="29"/>
      <c r="B52" s="30"/>
      <c r="C52" s="44"/>
      <c r="D52" s="42"/>
      <c r="E52" s="42"/>
      <c r="F52" s="42"/>
    </row>
    <row r="53" spans="1:6" ht="33" customHeight="1">
      <c r="A53" s="138" t="s">
        <v>39</v>
      </c>
      <c r="B53" s="138"/>
      <c r="C53" s="138"/>
      <c r="D53" s="138"/>
      <c r="E53" s="138"/>
      <c r="F53" s="138"/>
    </row>
    <row r="54" spans="1:6" ht="15">
      <c r="A54" s="1"/>
      <c r="B54" s="1"/>
      <c r="C54" s="1"/>
      <c r="D54" s="2"/>
      <c r="E54" s="2"/>
      <c r="F54" s="2"/>
    </row>
    <row r="55" spans="1:6" ht="71.25">
      <c r="A55" s="8"/>
      <c r="B55" s="9" t="s">
        <v>4</v>
      </c>
      <c r="C55" s="9" t="s">
        <v>5</v>
      </c>
      <c r="D55" s="9" t="s">
        <v>6</v>
      </c>
      <c r="E55" s="9" t="s">
        <v>7</v>
      </c>
      <c r="F55" s="2"/>
    </row>
    <row r="56" spans="1:5" ht="33" customHeight="1">
      <c r="A56" s="139" t="s">
        <v>40</v>
      </c>
      <c r="B56" s="139"/>
      <c r="C56" s="139"/>
      <c r="D56" s="12">
        <f>D57</f>
        <v>9.696</v>
      </c>
      <c r="E56" s="12">
        <f>E57</f>
        <v>0.01</v>
      </c>
    </row>
    <row r="57" spans="1:5" ht="30">
      <c r="A57" s="15">
        <v>1</v>
      </c>
      <c r="B57" s="45" t="s">
        <v>41</v>
      </c>
      <c r="C57" s="45" t="s">
        <v>42</v>
      </c>
      <c r="D57" s="17">
        <f>E57*12*$D$2</f>
        <v>9.696</v>
      </c>
      <c r="E57" s="46">
        <v>0.01</v>
      </c>
    </row>
    <row r="58" spans="1:5" ht="32.25" customHeight="1">
      <c r="A58" s="139" t="s">
        <v>43</v>
      </c>
      <c r="B58" s="139"/>
      <c r="C58" s="139"/>
      <c r="D58" s="12">
        <f>D59</f>
        <v>58.176</v>
      </c>
      <c r="E58" s="12">
        <f>E59</f>
        <v>0.06</v>
      </c>
    </row>
    <row r="59" spans="1:5" ht="15">
      <c r="A59" s="15">
        <v>2</v>
      </c>
      <c r="B59" s="47" t="s">
        <v>46</v>
      </c>
      <c r="C59" s="8" t="s">
        <v>213</v>
      </c>
      <c r="D59" s="17">
        <f>E59*$D$2*12</f>
        <v>58.176</v>
      </c>
      <c r="E59" s="18">
        <v>0.06</v>
      </c>
    </row>
    <row r="60" spans="1:6" ht="15">
      <c r="A60" s="9"/>
      <c r="B60" s="27" t="s">
        <v>27</v>
      </c>
      <c r="C60" s="27"/>
      <c r="D60" s="48">
        <f>D56+D58</f>
        <v>67.872</v>
      </c>
      <c r="E60" s="12">
        <f>E56+E58</f>
        <v>0.06999999999999999</v>
      </c>
      <c r="F60" s="6"/>
    </row>
    <row r="61" spans="1:6" ht="15">
      <c r="A61" s="2"/>
      <c r="B61" s="2"/>
      <c r="C61" s="2"/>
      <c r="D61" s="2"/>
      <c r="E61" s="2"/>
      <c r="F61" s="2"/>
    </row>
    <row r="62" spans="1:6" ht="18" customHeight="1">
      <c r="A62" s="2"/>
      <c r="B62" s="1" t="s">
        <v>274</v>
      </c>
      <c r="C62" s="4"/>
      <c r="D62" s="5">
        <v>100.5</v>
      </c>
      <c r="E62" s="6" t="s">
        <v>2</v>
      </c>
      <c r="F62" s="2"/>
    </row>
    <row r="63" spans="1:6" ht="9" customHeight="1">
      <c r="A63" s="2"/>
      <c r="B63" s="7"/>
      <c r="C63" s="2"/>
      <c r="D63" s="2"/>
      <c r="E63" s="2"/>
      <c r="F63" s="2"/>
    </row>
    <row r="64" spans="1:6" ht="30.75" customHeight="1">
      <c r="A64" s="138" t="s">
        <v>3</v>
      </c>
      <c r="B64" s="138"/>
      <c r="C64" s="138"/>
      <c r="D64" s="138"/>
      <c r="E64" s="138"/>
      <c r="F64" s="2"/>
    </row>
    <row r="65" spans="1:6" ht="9" customHeight="1">
      <c r="A65" s="1"/>
      <c r="B65" s="1"/>
      <c r="C65" s="1"/>
      <c r="D65" s="1"/>
      <c r="E65" s="1"/>
      <c r="F65" s="2"/>
    </row>
    <row r="66" spans="1:6" ht="71.25">
      <c r="A66" s="8"/>
      <c r="B66" s="9" t="s">
        <v>4</v>
      </c>
      <c r="C66" s="9" t="s">
        <v>5</v>
      </c>
      <c r="D66" s="9" t="s">
        <v>6</v>
      </c>
      <c r="E66" s="9" t="s">
        <v>7</v>
      </c>
      <c r="F66" s="2"/>
    </row>
    <row r="67" spans="1:8" ht="15">
      <c r="A67" s="140" t="s">
        <v>233</v>
      </c>
      <c r="B67" s="141"/>
      <c r="C67" s="142"/>
      <c r="D67" s="12">
        <f>SUM(D68:D69)</f>
        <v>1480.2836823132232</v>
      </c>
      <c r="E67" s="12">
        <f>SUM(E68:E69)</f>
        <v>1.2274325723990243</v>
      </c>
      <c r="F67" s="19"/>
      <c r="G67" s="108"/>
      <c r="H67" s="108"/>
    </row>
    <row r="68" spans="1:7" ht="15.75" customHeight="1">
      <c r="A68" s="15">
        <v>1</v>
      </c>
      <c r="B68" s="8" t="s">
        <v>12</v>
      </c>
      <c r="C68" s="16" t="s">
        <v>13</v>
      </c>
      <c r="D68" s="17">
        <f>E68*12*$D$62</f>
        <v>1354.3309078803507</v>
      </c>
      <c r="E68" s="60">
        <v>1.1229941193037734</v>
      </c>
      <c r="F68" s="21"/>
      <c r="G68" s="108"/>
    </row>
    <row r="69" spans="1:7" ht="30">
      <c r="A69" s="15">
        <v>2</v>
      </c>
      <c r="B69" s="22" t="s">
        <v>14</v>
      </c>
      <c r="C69" s="22" t="s">
        <v>15</v>
      </c>
      <c r="D69" s="17">
        <f>E69*12*$D$62</f>
        <v>125.95277443287259</v>
      </c>
      <c r="E69" s="60">
        <v>0.1044384530952509</v>
      </c>
      <c r="F69" s="21"/>
      <c r="G69" s="108"/>
    </row>
    <row r="70" spans="1:6" ht="15.75" customHeight="1">
      <c r="A70" s="140" t="s">
        <v>64</v>
      </c>
      <c r="B70" s="143"/>
      <c r="C70" s="144"/>
      <c r="D70" s="23">
        <f>SUM(D71:D73)</f>
        <v>1352.4449240001939</v>
      </c>
      <c r="E70" s="23">
        <f>SUM(E71:E73)</f>
        <v>1.1214302852406253</v>
      </c>
      <c r="F70" s="21"/>
    </row>
    <row r="71" spans="1:7" ht="29.25" customHeight="1">
      <c r="A71" s="15">
        <v>3</v>
      </c>
      <c r="B71" s="22" t="s">
        <v>17</v>
      </c>
      <c r="C71" s="22" t="s">
        <v>18</v>
      </c>
      <c r="D71" s="17">
        <f>E71*12*$D$62</f>
        <v>47.19022995124922</v>
      </c>
      <c r="E71" s="60">
        <v>0.039129543906508475</v>
      </c>
      <c r="F71" s="13"/>
      <c r="G71" s="116"/>
    </row>
    <row r="72" spans="1:7" ht="30">
      <c r="A72" s="15">
        <v>4</v>
      </c>
      <c r="B72" s="22" t="s">
        <v>105</v>
      </c>
      <c r="C72" s="22" t="s">
        <v>18</v>
      </c>
      <c r="D72" s="17">
        <f>E72*12*$D$62</f>
        <v>128.30330885357859</v>
      </c>
      <c r="E72" s="60">
        <v>0.10638748661159086</v>
      </c>
      <c r="F72" s="103"/>
      <c r="G72" s="108"/>
    </row>
    <row r="73" spans="1:6" ht="90">
      <c r="A73" s="15">
        <v>5</v>
      </c>
      <c r="B73" s="22" t="s">
        <v>106</v>
      </c>
      <c r="C73" s="22" t="s">
        <v>18</v>
      </c>
      <c r="D73" s="17">
        <f>E73*12*$D$62</f>
        <v>1176.9513851953661</v>
      </c>
      <c r="E73" s="60">
        <v>0.9759132547225259</v>
      </c>
      <c r="F73" s="2"/>
    </row>
    <row r="74" spans="1:8" ht="15">
      <c r="A74" s="145" t="s">
        <v>67</v>
      </c>
      <c r="B74" s="146"/>
      <c r="C74" s="146"/>
      <c r="D74" s="24">
        <f>SUM(D75:D76)</f>
        <v>2408.44775627461</v>
      </c>
      <c r="E74" s="24">
        <f>SUM(E75:E76)</f>
        <v>1.9970545242741378</v>
      </c>
      <c r="F74" s="2"/>
      <c r="G74" s="64"/>
      <c r="H74" s="64"/>
    </row>
    <row r="75" spans="1:10" ht="60">
      <c r="A75" s="15">
        <v>6</v>
      </c>
      <c r="B75" s="22" t="s">
        <v>86</v>
      </c>
      <c r="C75" s="22" t="s">
        <v>18</v>
      </c>
      <c r="D75" s="17">
        <f>E75*12*$D$62</f>
        <v>142.41608588059913</v>
      </c>
      <c r="E75" s="60">
        <v>0.11808962344991636</v>
      </c>
      <c r="F75" s="2"/>
      <c r="G75" s="85"/>
      <c r="H75" s="85"/>
      <c r="J75" s="65"/>
    </row>
    <row r="76" spans="1:14" ht="105">
      <c r="A76" s="15">
        <v>7</v>
      </c>
      <c r="B76" s="22" t="s">
        <v>22</v>
      </c>
      <c r="C76" s="22" t="s">
        <v>107</v>
      </c>
      <c r="D76" s="17">
        <f>E76*12*$D$62</f>
        <v>2266.031670394011</v>
      </c>
      <c r="E76" s="60">
        <v>1.8789649008242215</v>
      </c>
      <c r="F76" s="2"/>
      <c r="G76" s="85"/>
      <c r="H76" s="85"/>
      <c r="J76" s="65"/>
      <c r="N76" s="14"/>
    </row>
    <row r="77" spans="1:8" ht="15">
      <c r="A77" s="145" t="s">
        <v>70</v>
      </c>
      <c r="B77" s="145"/>
      <c r="C77" s="145"/>
      <c r="D77" s="25">
        <f>SUM(D78)</f>
        <v>211.13238392594548</v>
      </c>
      <c r="E77" s="23">
        <f>SUM(E78)</f>
        <v>0.17506831171305598</v>
      </c>
      <c r="F77" s="2"/>
      <c r="G77" s="113"/>
      <c r="H77" s="85"/>
    </row>
    <row r="78" spans="1:8" ht="15">
      <c r="A78" s="15">
        <v>8</v>
      </c>
      <c r="B78" s="22" t="s">
        <v>25</v>
      </c>
      <c r="C78" s="22" t="s">
        <v>26</v>
      </c>
      <c r="D78" s="17">
        <f>E78*12*$D$62</f>
        <v>211.13238392594548</v>
      </c>
      <c r="E78" s="60">
        <f>0.184268311713056-0.0092</f>
        <v>0.17506831171305598</v>
      </c>
      <c r="F78" s="2"/>
      <c r="G78" s="107"/>
      <c r="H78" s="64"/>
    </row>
    <row r="79" spans="1:8" ht="15">
      <c r="A79" s="9"/>
      <c r="B79" s="27" t="s">
        <v>27</v>
      </c>
      <c r="C79" s="27"/>
      <c r="D79" s="48">
        <f>D70+D74+D77+D67</f>
        <v>5452.308746513972</v>
      </c>
      <c r="E79" s="12">
        <f>E70+E74+E77+E67</f>
        <v>4.5209856936268435</v>
      </c>
      <c r="F79" s="6"/>
      <c r="G79" s="121"/>
      <c r="H79" s="122"/>
    </row>
    <row r="80" spans="1:6" ht="15">
      <c r="A80" s="29"/>
      <c r="B80" s="30"/>
      <c r="C80" s="31"/>
      <c r="D80" s="32"/>
      <c r="E80" s="33"/>
      <c r="F80" s="2"/>
    </row>
    <row r="81" spans="1:6" ht="29.25">
      <c r="A81" s="29"/>
      <c r="B81" s="30" t="s">
        <v>37</v>
      </c>
      <c r="C81" s="43">
        <f>D79</f>
        <v>5452.308746513972</v>
      </c>
      <c r="D81" s="43"/>
      <c r="E81" s="43"/>
      <c r="F81" s="42"/>
    </row>
    <row r="82" spans="1:6" ht="15">
      <c r="A82" s="29"/>
      <c r="B82" s="30" t="s">
        <v>38</v>
      </c>
      <c r="C82" s="44">
        <f>E79</f>
        <v>4.5209856936268435</v>
      </c>
      <c r="D82" s="42"/>
      <c r="E82" s="42"/>
      <c r="F82" s="42"/>
    </row>
    <row r="83" spans="1:6" ht="15">
      <c r="A83" s="29"/>
      <c r="B83" s="30"/>
      <c r="C83" s="44"/>
      <c r="D83" s="42"/>
      <c r="E83" s="42"/>
      <c r="F83" s="42"/>
    </row>
    <row r="84" spans="1:6" ht="33" customHeight="1">
      <c r="A84" s="138" t="s">
        <v>39</v>
      </c>
      <c r="B84" s="138"/>
      <c r="C84" s="138"/>
      <c r="D84" s="138"/>
      <c r="E84" s="138"/>
      <c r="F84" s="138"/>
    </row>
    <row r="85" spans="1:6" ht="15">
      <c r="A85" s="1"/>
      <c r="B85" s="1"/>
      <c r="C85" s="1"/>
      <c r="D85" s="2"/>
      <c r="E85" s="2"/>
      <c r="F85" s="2"/>
    </row>
    <row r="86" spans="1:6" ht="71.25">
      <c r="A86" s="8"/>
      <c r="B86" s="9" t="s">
        <v>4</v>
      </c>
      <c r="C86" s="9" t="s">
        <v>5</v>
      </c>
      <c r="D86" s="9" t="s">
        <v>6</v>
      </c>
      <c r="E86" s="9" t="s">
        <v>7</v>
      </c>
      <c r="F86" s="2"/>
    </row>
    <row r="87" spans="1:5" ht="31.5" customHeight="1">
      <c r="A87" s="139" t="s">
        <v>40</v>
      </c>
      <c r="B87" s="139"/>
      <c r="C87" s="139"/>
      <c r="D87" s="12">
        <f>D88</f>
        <v>9.696</v>
      </c>
      <c r="E87" s="12">
        <f>E88</f>
        <v>0.01</v>
      </c>
    </row>
    <row r="88" spans="1:5" ht="30">
      <c r="A88" s="15">
        <v>1</v>
      </c>
      <c r="B88" s="45" t="s">
        <v>41</v>
      </c>
      <c r="C88" s="45" t="s">
        <v>42</v>
      </c>
      <c r="D88" s="17">
        <f>E88*12*$D$2</f>
        <v>9.696</v>
      </c>
      <c r="E88" s="46">
        <v>0.01</v>
      </c>
    </row>
    <row r="89" spans="1:5" ht="32.25" customHeight="1">
      <c r="A89" s="139" t="s">
        <v>43</v>
      </c>
      <c r="B89" s="139"/>
      <c r="C89" s="139"/>
      <c r="D89" s="12">
        <f>D90</f>
        <v>58.176</v>
      </c>
      <c r="E89" s="12">
        <f>E90</f>
        <v>0.06</v>
      </c>
    </row>
    <row r="90" spans="1:5" ht="15">
      <c r="A90" s="15">
        <v>2</v>
      </c>
      <c r="B90" s="47" t="s">
        <v>46</v>
      </c>
      <c r="C90" s="8" t="s">
        <v>213</v>
      </c>
      <c r="D90" s="17">
        <f>E90*$D$2*12</f>
        <v>58.176</v>
      </c>
      <c r="E90" s="18">
        <v>0.06</v>
      </c>
    </row>
    <row r="91" spans="1:6" ht="15">
      <c r="A91" s="9"/>
      <c r="B91" s="27" t="s">
        <v>27</v>
      </c>
      <c r="C91" s="27"/>
      <c r="D91" s="48">
        <f>D87+D89</f>
        <v>67.872</v>
      </c>
      <c r="E91" s="12">
        <f>E87+E89</f>
        <v>0.06999999999999999</v>
      </c>
      <c r="F91" s="6"/>
    </row>
    <row r="92" spans="1:6" ht="15">
      <c r="A92" s="2"/>
      <c r="B92" s="2"/>
      <c r="C92" s="2"/>
      <c r="D92" s="2"/>
      <c r="E92" s="2"/>
      <c r="F92" s="2"/>
    </row>
    <row r="93" spans="2:4" ht="43.5">
      <c r="B93" s="30" t="s">
        <v>275</v>
      </c>
      <c r="D93" s="118">
        <f>C20+C50+C81</f>
        <v>8181.992011745684</v>
      </c>
    </row>
    <row r="94" s="56" customFormat="1" ht="15"/>
  </sheetData>
  <mergeCells count="24">
    <mergeCell ref="A77:C77"/>
    <mergeCell ref="A84:F84"/>
    <mergeCell ref="A87:C87"/>
    <mergeCell ref="A89:C89"/>
    <mergeCell ref="A64:E64"/>
    <mergeCell ref="A67:C67"/>
    <mergeCell ref="A70:C70"/>
    <mergeCell ref="A74:C74"/>
    <mergeCell ref="A46:C46"/>
    <mergeCell ref="A53:F53"/>
    <mergeCell ref="A56:C56"/>
    <mergeCell ref="A58:C58"/>
    <mergeCell ref="A34:E34"/>
    <mergeCell ref="A37:C37"/>
    <mergeCell ref="A40:C40"/>
    <mergeCell ref="A43:C43"/>
    <mergeCell ref="A16:C16"/>
    <mergeCell ref="A23:F23"/>
    <mergeCell ref="A26:C26"/>
    <mergeCell ref="A28:C28"/>
    <mergeCell ref="A4:E4"/>
    <mergeCell ref="A7:C7"/>
    <mergeCell ref="A10:C10"/>
    <mergeCell ref="A13:C1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N34"/>
  <sheetViews>
    <sheetView zoomScale="75" zoomScaleNormal="75" workbookViewId="0" topLeftCell="A1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276</v>
      </c>
    </row>
    <row r="2" spans="1:6" ht="21" customHeight="1">
      <c r="A2" s="2"/>
      <c r="B2" s="1" t="s">
        <v>277</v>
      </c>
      <c r="C2" s="4"/>
      <c r="D2" s="5">
        <v>78.8</v>
      </c>
      <c r="E2" s="6" t="s">
        <v>2</v>
      </c>
      <c r="F2" s="2"/>
    </row>
    <row r="3" spans="1:6" ht="20.25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8" ht="15">
      <c r="A7" s="140" t="s">
        <v>233</v>
      </c>
      <c r="B7" s="141"/>
      <c r="C7" s="142"/>
      <c r="D7" s="12">
        <f>SUM(D8:D9)</f>
        <v>740.1418411566116</v>
      </c>
      <c r="E7" s="12">
        <f>SUM(E8:E9)</f>
        <v>0.7827219132366874</v>
      </c>
      <c r="F7" s="19"/>
      <c r="G7" s="108"/>
      <c r="H7" s="108"/>
    </row>
    <row r="8" spans="1:7" ht="15.75" customHeight="1">
      <c r="A8" s="15">
        <v>1</v>
      </c>
      <c r="B8" s="8" t="s">
        <v>12</v>
      </c>
      <c r="C8" s="16" t="s">
        <v>13</v>
      </c>
      <c r="D8" s="17">
        <f>E8*12*$D$2</f>
        <v>677.1654539401753</v>
      </c>
      <c r="E8" s="60">
        <v>0.7161225189722666</v>
      </c>
      <c r="F8" s="21"/>
      <c r="G8" s="108"/>
    </row>
    <row r="9" spans="1:7" ht="30">
      <c r="A9" s="15">
        <v>2</v>
      </c>
      <c r="B9" s="22" t="s">
        <v>14</v>
      </c>
      <c r="C9" s="22" t="s">
        <v>15</v>
      </c>
      <c r="D9" s="17">
        <f>E9*12*$D$2</f>
        <v>62.97638721643629</v>
      </c>
      <c r="E9" s="60">
        <v>0.06659939426442078</v>
      </c>
      <c r="F9" s="21"/>
      <c r="G9" s="108"/>
    </row>
    <row r="10" spans="1:6" ht="30" customHeight="1">
      <c r="A10" s="140" t="s">
        <v>64</v>
      </c>
      <c r="B10" s="143"/>
      <c r="C10" s="144"/>
      <c r="D10" s="23">
        <f>SUM(D11:D12)</f>
        <v>85.67563517824212</v>
      </c>
      <c r="E10" s="23">
        <f>SUM(E11:E12)</f>
        <v>0.0906045211275826</v>
      </c>
      <c r="F10" s="21"/>
    </row>
    <row r="11" spans="1:7" ht="29.25" customHeight="1">
      <c r="A11" s="15">
        <v>3</v>
      </c>
      <c r="B11" s="22" t="s">
        <v>17</v>
      </c>
      <c r="C11" s="22" t="s">
        <v>18</v>
      </c>
      <c r="D11" s="17">
        <f>E11*12*$D$2</f>
        <v>47.19022995124922</v>
      </c>
      <c r="E11" s="60">
        <v>0.04990506551528048</v>
      </c>
      <c r="F11" s="13"/>
      <c r="G11" s="116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38.485405226992896</v>
      </c>
      <c r="E12" s="60">
        <v>0.04069945561230213</v>
      </c>
      <c r="F12" s="2"/>
    </row>
    <row r="13" spans="1:9" ht="15">
      <c r="A13" s="145" t="s">
        <v>67</v>
      </c>
      <c r="B13" s="146"/>
      <c r="C13" s="146"/>
      <c r="D13" s="24">
        <f>SUM(D14:D15)</f>
        <v>284.41868709216186</v>
      </c>
      <c r="E13" s="24">
        <f>SUM(E14:E15)</f>
        <v>0.3007811834730984</v>
      </c>
      <c r="F13" s="2"/>
      <c r="G13" s="85"/>
      <c r="H13" s="85"/>
      <c r="I13" s="65"/>
    </row>
    <row r="14" spans="1:9" ht="60">
      <c r="A14" s="15">
        <v>5</v>
      </c>
      <c r="B14" s="22" t="s">
        <v>86</v>
      </c>
      <c r="C14" s="22" t="s">
        <v>18</v>
      </c>
      <c r="D14" s="17">
        <f>E14*12*$D$2</f>
        <v>13.176963154597567</v>
      </c>
      <c r="E14" s="60">
        <v>0.013935028716791</v>
      </c>
      <c r="F14" s="2"/>
      <c r="G14" s="85"/>
      <c r="H14" s="85"/>
      <c r="I14" s="65"/>
    </row>
    <row r="15" spans="1:14" ht="60">
      <c r="A15" s="15">
        <v>6</v>
      </c>
      <c r="B15" s="22" t="s">
        <v>22</v>
      </c>
      <c r="C15" s="22" t="s">
        <v>87</v>
      </c>
      <c r="D15" s="17">
        <f>E15*12*$D$2</f>
        <v>271.2417239375643</v>
      </c>
      <c r="E15" s="60">
        <v>0.2868461547563074</v>
      </c>
      <c r="F15" s="2"/>
      <c r="G15" s="85"/>
      <c r="H15" s="85"/>
      <c r="I15" s="65"/>
      <c r="N15" s="14"/>
    </row>
    <row r="16" spans="1:9" ht="15">
      <c r="A16" s="145" t="s">
        <v>70</v>
      </c>
      <c r="B16" s="145"/>
      <c r="C16" s="145"/>
      <c r="D16" s="25">
        <f>SUM(D17)</f>
        <v>169.16327227180165</v>
      </c>
      <c r="E16" s="23">
        <f>SUM(E17)</f>
        <v>0.17889516949217601</v>
      </c>
      <c r="F16" s="2"/>
      <c r="G16" s="56"/>
      <c r="H16" s="56"/>
      <c r="I16" s="56"/>
    </row>
    <row r="17" spans="1:9" ht="15">
      <c r="A17" s="15">
        <v>7</v>
      </c>
      <c r="B17" s="22" t="s">
        <v>25</v>
      </c>
      <c r="C17" s="22" t="s">
        <v>26</v>
      </c>
      <c r="D17" s="17">
        <f>E17*12*$D$2</f>
        <v>169.16327227180165</v>
      </c>
      <c r="E17" s="60">
        <f>0.186795169492176-0.0079</f>
        <v>0.17889516949217601</v>
      </c>
      <c r="F17" s="2"/>
      <c r="G17" s="113"/>
      <c r="H17" s="85"/>
      <c r="I17" s="80"/>
    </row>
    <row r="18" spans="1:8" ht="15">
      <c r="A18" s="9"/>
      <c r="B18" s="27" t="s">
        <v>27</v>
      </c>
      <c r="C18" s="27"/>
      <c r="D18" s="12">
        <f>D10+D13+D16+D7</f>
        <v>1279.3994356988173</v>
      </c>
      <c r="E18" s="12">
        <f>E10+E13+E16+E7</f>
        <v>1.3530027873295443</v>
      </c>
      <c r="F18" s="6"/>
      <c r="G18" s="113"/>
      <c r="H18" s="85"/>
    </row>
    <row r="19" spans="1:6" ht="15">
      <c r="A19" s="29"/>
      <c r="B19" s="30"/>
      <c r="C19" s="31"/>
      <c r="D19" s="32"/>
      <c r="E19" s="33"/>
      <c r="F19" s="2"/>
    </row>
    <row r="20" spans="1:6" ht="15">
      <c r="A20" s="30"/>
      <c r="B20" s="30"/>
      <c r="C20" s="30"/>
      <c r="D20" s="30"/>
      <c r="E20" s="30"/>
      <c r="F20" s="29"/>
    </row>
    <row r="21" spans="1:6" ht="29.25">
      <c r="A21" s="29"/>
      <c r="B21" s="30" t="s">
        <v>37</v>
      </c>
      <c r="C21" s="43">
        <f>D18</f>
        <v>1279.3994356988173</v>
      </c>
      <c r="D21" s="43"/>
      <c r="E21" s="43"/>
      <c r="F21" s="42"/>
    </row>
    <row r="22" spans="1:6" ht="15">
      <c r="A22" s="29"/>
      <c r="B22" s="30" t="s">
        <v>38</v>
      </c>
      <c r="C22" s="44">
        <f>E18</f>
        <v>1.3530027873295443</v>
      </c>
      <c r="D22" s="42"/>
      <c r="E22" s="42"/>
      <c r="F22" s="42"/>
    </row>
    <row r="23" spans="1:6" ht="15">
      <c r="A23" s="29"/>
      <c r="B23" s="30"/>
      <c r="C23" s="44"/>
      <c r="D23" s="42"/>
      <c r="E23" s="42"/>
      <c r="F23" s="42"/>
    </row>
    <row r="24" spans="1:6" ht="14.25" customHeight="1">
      <c r="A24" s="2"/>
      <c r="B24" s="2"/>
      <c r="C24" s="2"/>
      <c r="D24" s="2"/>
      <c r="E24" s="2"/>
      <c r="F24" s="2"/>
    </row>
    <row r="25" spans="1:6" ht="33" customHeight="1">
      <c r="A25" s="138" t="s">
        <v>39</v>
      </c>
      <c r="B25" s="138"/>
      <c r="C25" s="138"/>
      <c r="D25" s="138"/>
      <c r="E25" s="138"/>
      <c r="F25" s="138"/>
    </row>
    <row r="26" spans="1:6" ht="15">
      <c r="A26" s="1"/>
      <c r="B26" s="1"/>
      <c r="C26" s="1"/>
      <c r="D26" s="2"/>
      <c r="E26" s="2"/>
      <c r="F26" s="2"/>
    </row>
    <row r="27" spans="1:6" ht="71.25">
      <c r="A27" s="8"/>
      <c r="B27" s="9" t="s">
        <v>4</v>
      </c>
      <c r="C27" s="9" t="s">
        <v>5</v>
      </c>
      <c r="D27" s="9" t="s">
        <v>6</v>
      </c>
      <c r="E27" s="9" t="s">
        <v>7</v>
      </c>
      <c r="F27" s="2"/>
    </row>
    <row r="28" spans="1:5" ht="30" customHeight="1">
      <c r="A28" s="139" t="s">
        <v>40</v>
      </c>
      <c r="B28" s="139"/>
      <c r="C28" s="139"/>
      <c r="D28" s="12">
        <f>D29</f>
        <v>9.456</v>
      </c>
      <c r="E28" s="12">
        <f>E29</f>
        <v>0.01</v>
      </c>
    </row>
    <row r="29" spans="1:5" ht="30">
      <c r="A29" s="15">
        <v>1</v>
      </c>
      <c r="B29" s="45" t="s">
        <v>41</v>
      </c>
      <c r="C29" s="45" t="s">
        <v>42</v>
      </c>
      <c r="D29" s="17">
        <f>E29*12*$D$2</f>
        <v>9.456</v>
      </c>
      <c r="E29" s="46">
        <v>0.01</v>
      </c>
    </row>
    <row r="30" spans="1:5" ht="32.25" customHeight="1">
      <c r="A30" s="139" t="s">
        <v>43</v>
      </c>
      <c r="B30" s="139"/>
      <c r="C30" s="139"/>
      <c r="D30" s="12">
        <f>D31</f>
        <v>56.736</v>
      </c>
      <c r="E30" s="12">
        <f>E31</f>
        <v>0.06</v>
      </c>
    </row>
    <row r="31" spans="1:5" ht="15">
      <c r="A31" s="15">
        <v>2</v>
      </c>
      <c r="B31" s="47" t="s">
        <v>46</v>
      </c>
      <c r="C31" s="8" t="s">
        <v>213</v>
      </c>
      <c r="D31" s="17">
        <f>E31*$D$2*12</f>
        <v>56.736</v>
      </c>
      <c r="E31" s="18">
        <v>0.06</v>
      </c>
    </row>
    <row r="32" spans="1:6" ht="15">
      <c r="A32" s="9"/>
      <c r="B32" s="27" t="s">
        <v>27</v>
      </c>
      <c r="C32" s="27"/>
      <c r="D32" s="48">
        <f>D28+D30</f>
        <v>66.192</v>
      </c>
      <c r="E32" s="12">
        <f>E28+E30</f>
        <v>0.06999999999999999</v>
      </c>
      <c r="F32" s="6"/>
    </row>
    <row r="33" spans="1:6" ht="15">
      <c r="A33" s="2"/>
      <c r="B33" s="2"/>
      <c r="C33" s="2"/>
      <c r="D33" s="2"/>
      <c r="E33" s="2"/>
      <c r="F33" s="2"/>
    </row>
    <row r="34" spans="2:3" ht="43.5">
      <c r="B34" s="30" t="s">
        <v>278</v>
      </c>
      <c r="C34" s="81">
        <f>C21</f>
        <v>1279.3994356988173</v>
      </c>
    </row>
  </sheetData>
  <mergeCells count="8">
    <mergeCell ref="A16:C16"/>
    <mergeCell ref="A25:F25"/>
    <mergeCell ref="A28:C28"/>
    <mergeCell ref="A30:C30"/>
    <mergeCell ref="A4:E4"/>
    <mergeCell ref="A7:C7"/>
    <mergeCell ref="A10:C10"/>
    <mergeCell ref="A13:C1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N34"/>
  <sheetViews>
    <sheetView zoomScale="75" zoomScaleNormal="75" workbookViewId="0" topLeftCell="A22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279</v>
      </c>
    </row>
    <row r="2" spans="1:6" ht="21" customHeight="1">
      <c r="A2" s="2"/>
      <c r="B2" s="1" t="s">
        <v>280</v>
      </c>
      <c r="C2" s="4"/>
      <c r="D2" s="5">
        <v>49.1</v>
      </c>
      <c r="E2" s="6" t="s">
        <v>2</v>
      </c>
      <c r="F2" s="2"/>
    </row>
    <row r="3" spans="1:6" ht="20.25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8" ht="15">
      <c r="A7" s="140" t="s">
        <v>233</v>
      </c>
      <c r="B7" s="141"/>
      <c r="C7" s="142"/>
      <c r="D7" s="12">
        <f>SUM(D8:D9)</f>
        <v>296.0567364626447</v>
      </c>
      <c r="E7" s="12">
        <f>SUM(E8:E9)</f>
        <v>0.5024723972549977</v>
      </c>
      <c r="F7" s="19"/>
      <c r="G7" s="108"/>
      <c r="H7" s="108"/>
    </row>
    <row r="8" spans="1:7" ht="15.75" customHeight="1">
      <c r="A8" s="15">
        <v>1</v>
      </c>
      <c r="B8" s="8" t="s">
        <v>12</v>
      </c>
      <c r="C8" s="16" t="s">
        <v>13</v>
      </c>
      <c r="D8" s="17">
        <f>E8*12*$D$2</f>
        <v>270.8661815760702</v>
      </c>
      <c r="E8" s="60">
        <v>0.45971857022415163</v>
      </c>
      <c r="F8" s="21"/>
      <c r="G8" s="108"/>
    </row>
    <row r="9" spans="1:7" ht="30">
      <c r="A9" s="15">
        <v>2</v>
      </c>
      <c r="B9" s="22" t="s">
        <v>14</v>
      </c>
      <c r="C9" s="22" t="s">
        <v>15</v>
      </c>
      <c r="D9" s="17">
        <f>E9*12*$D$2</f>
        <v>25.19055488657452</v>
      </c>
      <c r="E9" s="60">
        <v>0.0427538270308461</v>
      </c>
      <c r="F9" s="21"/>
      <c r="G9" s="108"/>
    </row>
    <row r="10" spans="1:6" ht="30" customHeight="1">
      <c r="A10" s="140" t="s">
        <v>64</v>
      </c>
      <c r="B10" s="143"/>
      <c r="C10" s="144"/>
      <c r="D10" s="23">
        <f>SUM(D11:D12)</f>
        <v>85.67563517824212</v>
      </c>
      <c r="E10" s="23">
        <f>SUM(E11:E12)</f>
        <v>0.14541010722715905</v>
      </c>
      <c r="F10" s="21"/>
    </row>
    <row r="11" spans="1:7" ht="29.25" customHeight="1">
      <c r="A11" s="15">
        <v>3</v>
      </c>
      <c r="B11" s="22" t="s">
        <v>17</v>
      </c>
      <c r="C11" s="22" t="s">
        <v>18</v>
      </c>
      <c r="D11" s="17">
        <f>E11*12*$D$2</f>
        <v>47.19022995124922</v>
      </c>
      <c r="E11" s="60">
        <v>0.0800920399715703</v>
      </c>
      <c r="F11" s="13"/>
      <c r="G11" s="116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38.485405226992896</v>
      </c>
      <c r="E12" s="60">
        <v>0.06531806725558875</v>
      </c>
      <c r="F12" s="2"/>
    </row>
    <row r="13" spans="1:8" ht="15">
      <c r="A13" s="145" t="s">
        <v>67</v>
      </c>
      <c r="B13" s="146"/>
      <c r="C13" s="146"/>
      <c r="D13" s="24">
        <f>SUM(D14:D15)</f>
        <v>240.30512524437788</v>
      </c>
      <c r="E13" s="24">
        <f>SUM(E14:E15)</f>
        <v>0.40784983917918854</v>
      </c>
      <c r="F13" s="2"/>
      <c r="H13" s="64"/>
    </row>
    <row r="14" spans="1:10" ht="60">
      <c r="A14" s="15">
        <v>5</v>
      </c>
      <c r="B14" s="22" t="s">
        <v>86</v>
      </c>
      <c r="C14" s="22" t="s">
        <v>18</v>
      </c>
      <c r="D14" s="17">
        <f>E14*12*$D$2</f>
        <v>13.17696315459757</v>
      </c>
      <c r="E14" s="60">
        <v>0.022364160140185965</v>
      </c>
      <c r="F14" s="2"/>
      <c r="G14" s="85"/>
      <c r="H14" s="85"/>
      <c r="J14" s="65"/>
    </row>
    <row r="15" spans="1:14" ht="60">
      <c r="A15" s="15">
        <v>6</v>
      </c>
      <c r="B15" s="22" t="s">
        <v>22</v>
      </c>
      <c r="C15" s="22" t="s">
        <v>87</v>
      </c>
      <c r="D15" s="17">
        <f>E15*12*$D$2</f>
        <v>227.12816208978032</v>
      </c>
      <c r="E15" s="60">
        <v>0.3854856790390026</v>
      </c>
      <c r="F15" s="2"/>
      <c r="G15" s="85"/>
      <c r="H15" s="85"/>
      <c r="J15" s="65"/>
      <c r="N15" s="14"/>
    </row>
    <row r="16" spans="1:6" ht="15">
      <c r="A16" s="145" t="s">
        <v>70</v>
      </c>
      <c r="B16" s="145"/>
      <c r="C16" s="145"/>
      <c r="D16" s="25">
        <f>SUM(D17)</f>
        <v>169.6324873349068</v>
      </c>
      <c r="E16" s="23">
        <f>SUM(E17)</f>
        <v>0.287903067438742</v>
      </c>
      <c r="F16" s="2"/>
    </row>
    <row r="17" spans="1:8" ht="15">
      <c r="A17" s="15">
        <v>7</v>
      </c>
      <c r="B17" s="22" t="s">
        <v>25</v>
      </c>
      <c r="C17" s="22" t="s">
        <v>26</v>
      </c>
      <c r="D17" s="17">
        <f>E17*12*$D$2</f>
        <v>169.6324873349068</v>
      </c>
      <c r="E17" s="60">
        <f>0.286903067438742+0.001</f>
        <v>0.287903067438742</v>
      </c>
      <c r="F17" s="2"/>
      <c r="G17" s="113"/>
      <c r="H17" s="85"/>
    </row>
    <row r="18" spans="1:8" ht="15">
      <c r="A18" s="9"/>
      <c r="B18" s="27" t="s">
        <v>27</v>
      </c>
      <c r="C18" s="27"/>
      <c r="D18" s="12">
        <f>D10+D13+D16+D7</f>
        <v>791.6699842201715</v>
      </c>
      <c r="E18" s="12">
        <f>E10+E13+E16+E7</f>
        <v>1.3436354111000872</v>
      </c>
      <c r="F18" s="6"/>
      <c r="G18" s="113"/>
      <c r="H18" s="85"/>
    </row>
    <row r="19" spans="1:6" ht="15">
      <c r="A19" s="29"/>
      <c r="B19" s="30"/>
      <c r="C19" s="31"/>
      <c r="D19" s="32"/>
      <c r="E19" s="33"/>
      <c r="F19" s="2"/>
    </row>
    <row r="20" spans="1:6" ht="15">
      <c r="A20" s="30"/>
      <c r="B20" s="30"/>
      <c r="C20" s="30"/>
      <c r="D20" s="30"/>
      <c r="E20" s="30"/>
      <c r="F20" s="29"/>
    </row>
    <row r="21" spans="1:6" ht="29.25">
      <c r="A21" s="29"/>
      <c r="B21" s="30" t="s">
        <v>37</v>
      </c>
      <c r="C21" s="43">
        <f>D18</f>
        <v>791.6699842201715</v>
      </c>
      <c r="D21" s="43"/>
      <c r="E21" s="43"/>
      <c r="F21" s="42"/>
    </row>
    <row r="22" spans="1:6" ht="15">
      <c r="A22" s="29"/>
      <c r="B22" s="30" t="s">
        <v>38</v>
      </c>
      <c r="C22" s="44">
        <f>E18</f>
        <v>1.3436354111000872</v>
      </c>
      <c r="D22" s="42"/>
      <c r="E22" s="42"/>
      <c r="F22" s="42"/>
    </row>
    <row r="23" spans="1:6" ht="15">
      <c r="A23" s="29"/>
      <c r="B23" s="30"/>
      <c r="C23" s="44"/>
      <c r="D23" s="42"/>
      <c r="E23" s="42"/>
      <c r="F23" s="42"/>
    </row>
    <row r="24" spans="1:6" ht="14.25" customHeight="1">
      <c r="A24" s="2"/>
      <c r="B24" s="2"/>
      <c r="C24" s="2"/>
      <c r="D24" s="2"/>
      <c r="E24" s="2"/>
      <c r="F24" s="2"/>
    </row>
    <row r="25" spans="1:6" ht="33" customHeight="1">
      <c r="A25" s="138" t="s">
        <v>39</v>
      </c>
      <c r="B25" s="138"/>
      <c r="C25" s="138"/>
      <c r="D25" s="138"/>
      <c r="E25" s="138"/>
      <c r="F25" s="138"/>
    </row>
    <row r="26" spans="1:6" ht="15">
      <c r="A26" s="1"/>
      <c r="B26" s="1"/>
      <c r="C26" s="1"/>
      <c r="D26" s="2"/>
      <c r="E26" s="2"/>
      <c r="F26" s="2"/>
    </row>
    <row r="27" spans="1:6" ht="71.25">
      <c r="A27" s="8"/>
      <c r="B27" s="9" t="s">
        <v>4</v>
      </c>
      <c r="C27" s="9" t="s">
        <v>5</v>
      </c>
      <c r="D27" s="9" t="s">
        <v>6</v>
      </c>
      <c r="E27" s="9" t="s">
        <v>7</v>
      </c>
      <c r="F27" s="2"/>
    </row>
    <row r="28" spans="1:5" ht="30" customHeight="1">
      <c r="A28" s="139" t="s">
        <v>40</v>
      </c>
      <c r="B28" s="139"/>
      <c r="C28" s="139"/>
      <c r="D28" s="12">
        <f>D29</f>
        <v>5.892</v>
      </c>
      <c r="E28" s="12">
        <f>E29</f>
        <v>0.01</v>
      </c>
    </row>
    <row r="29" spans="1:5" ht="30">
      <c r="A29" s="15">
        <v>1</v>
      </c>
      <c r="B29" s="45" t="s">
        <v>41</v>
      </c>
      <c r="C29" s="45" t="s">
        <v>42</v>
      </c>
      <c r="D29" s="17">
        <f>E29*12*$D$2</f>
        <v>5.892</v>
      </c>
      <c r="E29" s="46">
        <v>0.01</v>
      </c>
    </row>
    <row r="30" spans="1:5" ht="32.25" customHeight="1">
      <c r="A30" s="139" t="s">
        <v>43</v>
      </c>
      <c r="B30" s="139"/>
      <c r="C30" s="139"/>
      <c r="D30" s="12">
        <f>D31</f>
        <v>35.352000000000004</v>
      </c>
      <c r="E30" s="12">
        <f>E31</f>
        <v>0.06</v>
      </c>
    </row>
    <row r="31" spans="1:5" ht="15">
      <c r="A31" s="15">
        <v>2</v>
      </c>
      <c r="B31" s="47" t="s">
        <v>46</v>
      </c>
      <c r="C31" s="8" t="s">
        <v>213</v>
      </c>
      <c r="D31" s="17">
        <f>E31*$D$2*12</f>
        <v>35.352000000000004</v>
      </c>
      <c r="E31" s="18">
        <v>0.06</v>
      </c>
    </row>
    <row r="32" spans="1:6" ht="15">
      <c r="A32" s="9"/>
      <c r="B32" s="27" t="s">
        <v>27</v>
      </c>
      <c r="C32" s="27"/>
      <c r="D32" s="48">
        <f>D28+D30</f>
        <v>41.24400000000001</v>
      </c>
      <c r="E32" s="12">
        <f>E28+E30</f>
        <v>0.06999999999999999</v>
      </c>
      <c r="F32" s="6"/>
    </row>
    <row r="33" spans="1:6" ht="15">
      <c r="A33" s="2"/>
      <c r="B33" s="2"/>
      <c r="C33" s="2"/>
      <c r="D33" s="2"/>
      <c r="E33" s="2"/>
      <c r="F33" s="2"/>
    </row>
    <row r="34" spans="2:3" ht="43.5">
      <c r="B34" s="30" t="s">
        <v>281</v>
      </c>
      <c r="C34" s="81">
        <f>C21</f>
        <v>791.6699842201715</v>
      </c>
    </row>
  </sheetData>
  <mergeCells count="8">
    <mergeCell ref="A16:C16"/>
    <mergeCell ref="A25:F25"/>
    <mergeCell ref="A28:C28"/>
    <mergeCell ref="A30:C30"/>
    <mergeCell ref="A4:E4"/>
    <mergeCell ref="A7:C7"/>
    <mergeCell ref="A10:C10"/>
    <mergeCell ref="A13:C1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49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75390625" style="3" customWidth="1"/>
    <col min="7" max="16384" width="9.125" style="3" customWidth="1"/>
  </cols>
  <sheetData>
    <row r="1" ht="15">
      <c r="B1" s="59" t="s">
        <v>433</v>
      </c>
    </row>
    <row r="2" spans="1:6" ht="39" customHeight="1">
      <c r="A2" s="2"/>
      <c r="B2" s="1" t="s">
        <v>434</v>
      </c>
      <c r="C2" s="4"/>
      <c r="D2" s="5">
        <v>83.2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592.1134729252893</v>
      </c>
      <c r="E7" s="12">
        <f>SUM(E8:E9)</f>
        <v>0.593062372721644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541.7323631521402</v>
      </c>
      <c r="E8" s="20">
        <v>0.542600523990525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50.38110977314909</v>
      </c>
      <c r="E9" s="17">
        <v>0.05046184873111888</v>
      </c>
      <c r="F9" s="21"/>
    </row>
    <row r="10" spans="1:6" ht="15">
      <c r="A10" s="140" t="s">
        <v>64</v>
      </c>
      <c r="B10" s="143"/>
      <c r="C10" s="144"/>
      <c r="D10" s="23">
        <f>SUM(D11:D12)</f>
        <v>85.67563517824212</v>
      </c>
      <c r="E10" s="23">
        <f>SUM(E11:E12)</f>
        <v>0.08581293587564315</v>
      </c>
      <c r="F10" s="21"/>
    </row>
    <row r="11" spans="1:6" ht="18.75" customHeight="1">
      <c r="A11" s="15">
        <v>3</v>
      </c>
      <c r="B11" s="22" t="s">
        <v>17</v>
      </c>
      <c r="C11" s="22" t="s">
        <v>18</v>
      </c>
      <c r="D11" s="17">
        <f>E11*12*$D$2</f>
        <v>47.19022995124927</v>
      </c>
      <c r="E11" s="17">
        <v>0.04726585531976089</v>
      </c>
      <c r="F11" s="13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38.485405226992846</v>
      </c>
      <c r="E12" s="17">
        <v>0.038547080555882254</v>
      </c>
      <c r="F12" s="2"/>
    </row>
    <row r="13" spans="1:6" ht="15">
      <c r="A13" s="145" t="s">
        <v>67</v>
      </c>
      <c r="B13" s="146"/>
      <c r="C13" s="146"/>
      <c r="D13" s="24">
        <f>SUM(D14:D15)</f>
        <v>1898.2002730076338</v>
      </c>
      <c r="E13" s="24">
        <f>SUM(E14:E15)</f>
        <v>1.9012422606246333</v>
      </c>
      <c r="F13" s="2"/>
    </row>
    <row r="14" spans="1:6" ht="75">
      <c r="A14" s="15">
        <v>5</v>
      </c>
      <c r="B14" s="22" t="s">
        <v>98</v>
      </c>
      <c r="C14" s="22" t="s">
        <v>18</v>
      </c>
      <c r="D14" s="17">
        <f>E14*12*$D$2</f>
        <v>109.98529478456135</v>
      </c>
      <c r="E14" s="17">
        <v>0.110161553269793</v>
      </c>
      <c r="F14" s="2"/>
    </row>
    <row r="15" spans="1:6" ht="90">
      <c r="A15" s="15">
        <v>6</v>
      </c>
      <c r="B15" s="22" t="s">
        <v>22</v>
      </c>
      <c r="C15" s="22" t="s">
        <v>79</v>
      </c>
      <c r="D15" s="17">
        <f>E15*12*$D$2</f>
        <v>1788.2149782230724</v>
      </c>
      <c r="E15" s="20">
        <v>1.7910807073548403</v>
      </c>
      <c r="F15" s="2"/>
    </row>
    <row r="16" spans="1:6" ht="15">
      <c r="A16" s="145" t="s">
        <v>70</v>
      </c>
      <c r="B16" s="145"/>
      <c r="C16" s="145"/>
      <c r="D16" s="25">
        <f>SUM(D17)</f>
        <v>191.05903851181955</v>
      </c>
      <c r="E16" s="25">
        <f>SUM(E17)</f>
        <v>0.19136522286840899</v>
      </c>
      <c r="F16" s="2"/>
    </row>
    <row r="17" spans="1:6" ht="15">
      <c r="A17" s="15">
        <v>7</v>
      </c>
      <c r="B17" s="22" t="s">
        <v>25</v>
      </c>
      <c r="C17" s="22" t="s">
        <v>26</v>
      </c>
      <c r="D17" s="17">
        <f>E17*12*$D$2</f>
        <v>191.05903851181955</v>
      </c>
      <c r="E17" s="26">
        <f>0.190811422868409+0.0005538</f>
        <v>0.19136522286840899</v>
      </c>
      <c r="F17" s="2"/>
    </row>
    <row r="18" spans="1:6" ht="15">
      <c r="A18" s="9"/>
      <c r="B18" s="27" t="s">
        <v>27</v>
      </c>
      <c r="C18" s="27"/>
      <c r="D18" s="48">
        <f>D7+D10+D13+D16</f>
        <v>2767.0484196229845</v>
      </c>
      <c r="E18" s="12">
        <f>E7+E10+E13+E16</f>
        <v>2.7714827920903295</v>
      </c>
      <c r="F18" s="6"/>
    </row>
    <row r="19" spans="1:6" ht="15">
      <c r="A19" s="29"/>
      <c r="B19" s="30"/>
      <c r="C19" s="31"/>
      <c r="D19" s="128"/>
      <c r="E19" s="64"/>
      <c r="F19" s="2"/>
    </row>
    <row r="20" spans="1:6" ht="29.25">
      <c r="A20" s="29"/>
      <c r="B20" s="30" t="s">
        <v>37</v>
      </c>
      <c r="C20" s="43">
        <f>D18</f>
        <v>2767.0484196229845</v>
      </c>
      <c r="D20" s="43"/>
      <c r="E20" s="43"/>
      <c r="F20" s="42"/>
    </row>
    <row r="21" spans="1:6" ht="15">
      <c r="A21" s="29"/>
      <c r="B21" s="30" t="s">
        <v>38</v>
      </c>
      <c r="C21" s="44">
        <f>E18</f>
        <v>2.7714827920903295</v>
      </c>
      <c r="D21" s="42"/>
      <c r="E21" s="42"/>
      <c r="F21" s="42"/>
    </row>
    <row r="22" spans="1:6" ht="15">
      <c r="A22" s="29"/>
      <c r="B22" s="30"/>
      <c r="C22" s="44"/>
      <c r="D22" s="42"/>
      <c r="E22" s="42"/>
      <c r="F22" s="42"/>
    </row>
    <row r="23" spans="1:6" ht="6" customHeight="1">
      <c r="A23" s="2"/>
      <c r="B23" s="2"/>
      <c r="C23" s="2"/>
      <c r="D23" s="2"/>
      <c r="E23" s="2"/>
      <c r="F23" s="2"/>
    </row>
    <row r="24" spans="1:6" ht="33" customHeight="1">
      <c r="A24" s="138" t="s">
        <v>39</v>
      </c>
      <c r="B24" s="138"/>
      <c r="C24" s="138"/>
      <c r="D24" s="138"/>
      <c r="E24" s="138"/>
      <c r="F24" s="138"/>
    </row>
    <row r="25" spans="1:6" ht="5.25" customHeight="1">
      <c r="A25" s="1"/>
      <c r="B25" s="1"/>
      <c r="C25" s="1"/>
      <c r="D25" s="2"/>
      <c r="E25" s="2"/>
      <c r="F25" s="2"/>
    </row>
    <row r="26" spans="1:6" ht="71.25">
      <c r="A26" s="8"/>
      <c r="B26" s="9" t="s">
        <v>4</v>
      </c>
      <c r="C26" s="9" t="s">
        <v>5</v>
      </c>
      <c r="D26" s="9" t="s">
        <v>6</v>
      </c>
      <c r="E26" s="9" t="s">
        <v>7</v>
      </c>
      <c r="F26" s="2"/>
    </row>
    <row r="27" spans="1:5" ht="30.75" customHeight="1">
      <c r="A27" s="139" t="s">
        <v>40</v>
      </c>
      <c r="B27" s="139"/>
      <c r="C27" s="139"/>
      <c r="D27" s="12">
        <f>D28</f>
        <v>9.984</v>
      </c>
      <c r="E27" s="12">
        <f>E28</f>
        <v>0.01</v>
      </c>
    </row>
    <row r="28" spans="1:5" ht="30">
      <c r="A28" s="15">
        <v>1</v>
      </c>
      <c r="B28" s="45" t="s">
        <v>41</v>
      </c>
      <c r="C28" s="45" t="s">
        <v>165</v>
      </c>
      <c r="D28" s="17">
        <f>E28*12*$D$2</f>
        <v>9.984</v>
      </c>
      <c r="E28" s="46">
        <v>0.01</v>
      </c>
    </row>
    <row r="29" spans="1:5" ht="32.25" customHeight="1">
      <c r="A29" s="139" t="s">
        <v>43</v>
      </c>
      <c r="B29" s="139"/>
      <c r="C29" s="139"/>
      <c r="D29" s="12">
        <f>D30+D31</f>
        <v>79.872</v>
      </c>
      <c r="E29" s="12">
        <f>E30+E31</f>
        <v>0.08</v>
      </c>
    </row>
    <row r="30" spans="1:5" ht="28.5" customHeight="1">
      <c r="A30" s="15">
        <v>2</v>
      </c>
      <c r="B30" s="45" t="s">
        <v>44</v>
      </c>
      <c r="C30" s="45" t="s">
        <v>45</v>
      </c>
      <c r="D30" s="17">
        <f>E30*$D$2*12</f>
        <v>19.968000000000004</v>
      </c>
      <c r="E30" s="46">
        <v>0.02</v>
      </c>
    </row>
    <row r="31" spans="1:5" ht="30">
      <c r="A31" s="15">
        <v>3</v>
      </c>
      <c r="B31" s="47" t="s">
        <v>46</v>
      </c>
      <c r="C31" s="8" t="s">
        <v>165</v>
      </c>
      <c r="D31" s="17">
        <f>E31*$D$2*12</f>
        <v>59.903999999999996</v>
      </c>
      <c r="E31" s="18">
        <v>0.06</v>
      </c>
    </row>
    <row r="32" spans="1:6" ht="15">
      <c r="A32" s="9"/>
      <c r="B32" s="27" t="s">
        <v>27</v>
      </c>
      <c r="C32" s="27"/>
      <c r="D32" s="48">
        <f>D27+D29</f>
        <v>89.856</v>
      </c>
      <c r="E32" s="12">
        <f>E27+E29</f>
        <v>0.09</v>
      </c>
      <c r="F32" s="6"/>
    </row>
    <row r="33" spans="1:6" ht="15">
      <c r="A33" s="2"/>
      <c r="B33" s="2"/>
      <c r="C33" s="2"/>
      <c r="D33" s="2"/>
      <c r="E33" s="2"/>
      <c r="F33" s="2"/>
    </row>
    <row r="34" spans="1:6" ht="39" customHeight="1">
      <c r="A34" s="2"/>
      <c r="B34" s="1" t="s">
        <v>435</v>
      </c>
      <c r="C34" s="4"/>
      <c r="D34" s="5">
        <v>78.1</v>
      </c>
      <c r="E34" s="6" t="s">
        <v>2</v>
      </c>
      <c r="F34" s="2"/>
    </row>
    <row r="35" spans="1:6" ht="15">
      <c r="A35" s="2"/>
      <c r="B35" s="7"/>
      <c r="C35" s="2"/>
      <c r="D35" s="2"/>
      <c r="E35" s="2"/>
      <c r="F35" s="2"/>
    </row>
    <row r="36" spans="1:6" ht="30.75" customHeight="1">
      <c r="A36" s="138" t="s">
        <v>3</v>
      </c>
      <c r="B36" s="138"/>
      <c r="C36" s="138"/>
      <c r="D36" s="138"/>
      <c r="E36" s="138"/>
      <c r="F36" s="2"/>
    </row>
    <row r="37" spans="1:6" ht="15">
      <c r="A37" s="1"/>
      <c r="B37" s="1"/>
      <c r="C37" s="1"/>
      <c r="D37" s="1"/>
      <c r="E37" s="1"/>
      <c r="F37" s="2"/>
    </row>
    <row r="38" spans="1:6" ht="71.25">
      <c r="A38" s="8"/>
      <c r="B38" s="9" t="s">
        <v>4</v>
      </c>
      <c r="C38" s="9" t="s">
        <v>5</v>
      </c>
      <c r="D38" s="9" t="s">
        <v>6</v>
      </c>
      <c r="E38" s="9" t="s">
        <v>7</v>
      </c>
      <c r="F38" s="2"/>
    </row>
    <row r="39" spans="1:6" ht="15">
      <c r="A39" s="140" t="s">
        <v>61</v>
      </c>
      <c r="B39" s="141"/>
      <c r="C39" s="142"/>
      <c r="D39" s="12">
        <f>SUM(D40:D41)</f>
        <v>444.085104693967</v>
      </c>
      <c r="E39" s="12">
        <f>SUM(E40:E41)</f>
        <v>0.473842407910763</v>
      </c>
      <c r="F39" s="19"/>
    </row>
    <row r="40" spans="1:6" ht="15.75" customHeight="1">
      <c r="A40" s="15">
        <v>1</v>
      </c>
      <c r="B40" s="8" t="s">
        <v>12</v>
      </c>
      <c r="C40" s="16" t="s">
        <v>13</v>
      </c>
      <c r="D40" s="17">
        <f>E40*$D$34*12</f>
        <v>406.29927236410526</v>
      </c>
      <c r="E40" s="20">
        <v>0.4335246183996002</v>
      </c>
      <c r="F40" s="21"/>
    </row>
    <row r="41" spans="1:6" ht="30">
      <c r="A41" s="15">
        <v>2</v>
      </c>
      <c r="B41" s="22" t="s">
        <v>14</v>
      </c>
      <c r="C41" s="22" t="s">
        <v>15</v>
      </c>
      <c r="D41" s="17">
        <f>E41*$D$34*12</f>
        <v>37.78583232986176</v>
      </c>
      <c r="E41" s="17">
        <v>0.04031778951116279</v>
      </c>
      <c r="F41" s="21"/>
    </row>
    <row r="42" spans="1:6" ht="15">
      <c r="A42" s="140" t="s">
        <v>64</v>
      </c>
      <c r="B42" s="143"/>
      <c r="C42" s="144"/>
      <c r="D42" s="23">
        <f>SUM(D43:D44)</f>
        <v>85.67563517824213</v>
      </c>
      <c r="E42" s="23">
        <f>SUM(E43:E44)</f>
        <v>0.09141659750132536</v>
      </c>
      <c r="F42" s="21"/>
    </row>
    <row r="43" spans="1:6" ht="18.75" customHeight="1">
      <c r="A43" s="15">
        <v>3</v>
      </c>
      <c r="B43" s="22" t="s">
        <v>17</v>
      </c>
      <c r="C43" s="22" t="s">
        <v>18</v>
      </c>
      <c r="D43" s="17">
        <f>E43*12*$D$34</f>
        <v>47.190229951249215</v>
      </c>
      <c r="E43" s="17">
        <v>0.05035235803590399</v>
      </c>
      <c r="F43" s="13"/>
    </row>
    <row r="44" spans="1:6" ht="60">
      <c r="A44" s="15">
        <v>4</v>
      </c>
      <c r="B44" s="22" t="s">
        <v>19</v>
      </c>
      <c r="C44" s="22" t="s">
        <v>18</v>
      </c>
      <c r="D44" s="17">
        <f>E44*12*$D$34</f>
        <v>38.48540522699292</v>
      </c>
      <c r="E44" s="17">
        <v>0.04106423946542138</v>
      </c>
      <c r="F44" s="2"/>
    </row>
    <row r="45" spans="1:6" ht="15">
      <c r="A45" s="145" t="s">
        <v>67</v>
      </c>
      <c r="B45" s="146"/>
      <c r="C45" s="146"/>
      <c r="D45" s="24">
        <f>SUM(D46:D47)</f>
        <v>283.37897351325825</v>
      </c>
      <c r="E45" s="24">
        <f>SUM(E46:E47)</f>
        <v>0.30236766273288335</v>
      </c>
      <c r="F45" s="2"/>
    </row>
    <row r="46" spans="1:6" ht="60">
      <c r="A46" s="15">
        <v>5</v>
      </c>
      <c r="B46" s="22" t="s">
        <v>86</v>
      </c>
      <c r="C46" s="22" t="s">
        <v>18</v>
      </c>
      <c r="D46" s="17">
        <f>E46*12*$D$34</f>
        <v>13.176963154597566</v>
      </c>
      <c r="E46" s="17">
        <v>0.014059926541397318</v>
      </c>
      <c r="F46" s="2"/>
    </row>
    <row r="47" spans="1:6" ht="60">
      <c r="A47" s="15">
        <v>6</v>
      </c>
      <c r="B47" s="22" t="s">
        <v>22</v>
      </c>
      <c r="C47" s="22" t="s">
        <v>87</v>
      </c>
      <c r="D47" s="17">
        <f>E47*12*$D$34</f>
        <v>270.2020103586607</v>
      </c>
      <c r="E47" s="20">
        <v>0.28830773619148603</v>
      </c>
      <c r="F47" s="2"/>
    </row>
    <row r="48" spans="1:6" ht="15">
      <c r="A48" s="145" t="s">
        <v>70</v>
      </c>
      <c r="B48" s="145"/>
      <c r="C48" s="145"/>
      <c r="D48" s="25">
        <f>SUM(D49)</f>
        <v>172.5702852085179</v>
      </c>
      <c r="E48" s="25">
        <f>SUM(E49)</f>
        <v>0.18413389373508102</v>
      </c>
      <c r="F48" s="2"/>
    </row>
    <row r="49" spans="1:6" ht="15">
      <c r="A49" s="15">
        <v>7</v>
      </c>
      <c r="B49" s="22" t="s">
        <v>25</v>
      </c>
      <c r="C49" s="22" t="s">
        <v>26</v>
      </c>
      <c r="D49" s="17">
        <f>E49*12*$D$34</f>
        <v>172.5702852085179</v>
      </c>
      <c r="E49" s="26">
        <f>0.183540793735081+0.0005931</f>
        <v>0.18413389373508102</v>
      </c>
      <c r="F49" s="2"/>
    </row>
    <row r="50" spans="1:6" ht="15">
      <c r="A50" s="9"/>
      <c r="B50" s="27" t="s">
        <v>27</v>
      </c>
      <c r="C50" s="27"/>
      <c r="D50" s="48">
        <f>D39+D42+D45+D48</f>
        <v>985.7099985939852</v>
      </c>
      <c r="E50" s="12">
        <f>E39+E42+E45+E48</f>
        <v>1.0517605618800525</v>
      </c>
      <c r="F50" s="6"/>
    </row>
    <row r="51" spans="1:6" ht="15">
      <c r="A51" s="29"/>
      <c r="B51" s="30"/>
      <c r="C51" s="31"/>
      <c r="D51" s="128"/>
      <c r="E51" s="64"/>
      <c r="F51" s="2"/>
    </row>
    <row r="52" spans="1:6" ht="15">
      <c r="A52" s="29"/>
      <c r="B52" s="30"/>
      <c r="C52" s="31"/>
      <c r="D52" s="128"/>
      <c r="E52" s="64"/>
      <c r="F52" s="2"/>
    </row>
    <row r="53" spans="1:6" ht="29.25">
      <c r="A53" s="29"/>
      <c r="B53" s="30" t="s">
        <v>37</v>
      </c>
      <c r="C53" s="43">
        <f>D50</f>
        <v>985.7099985939852</v>
      </c>
      <c r="D53" s="43"/>
      <c r="E53" s="43"/>
      <c r="F53" s="42"/>
    </row>
    <row r="54" spans="1:6" ht="15">
      <c r="A54" s="29"/>
      <c r="B54" s="30" t="s">
        <v>38</v>
      </c>
      <c r="C54" s="44">
        <f>E50</f>
        <v>1.0517605618800525</v>
      </c>
      <c r="D54" s="42"/>
      <c r="E54" s="42"/>
      <c r="F54" s="42"/>
    </row>
    <row r="55" spans="1:6" ht="15">
      <c r="A55" s="29"/>
      <c r="B55" s="30"/>
      <c r="C55" s="44"/>
      <c r="D55" s="42"/>
      <c r="E55" s="42"/>
      <c r="F55" s="42"/>
    </row>
    <row r="56" spans="1:6" ht="80.25" customHeight="1">
      <c r="A56" s="2"/>
      <c r="B56" s="2"/>
      <c r="C56" s="2"/>
      <c r="D56" s="2"/>
      <c r="E56" s="2"/>
      <c r="F56" s="2"/>
    </row>
    <row r="57" spans="1:6" ht="33" customHeight="1">
      <c r="A57" s="138" t="s">
        <v>39</v>
      </c>
      <c r="B57" s="138"/>
      <c r="C57" s="138"/>
      <c r="D57" s="138"/>
      <c r="E57" s="138"/>
      <c r="F57" s="138"/>
    </row>
    <row r="58" spans="1:6" ht="15">
      <c r="A58" s="1"/>
      <c r="B58" s="1"/>
      <c r="C58" s="1"/>
      <c r="D58" s="2"/>
      <c r="E58" s="2"/>
      <c r="F58" s="2"/>
    </row>
    <row r="59" spans="1:6" ht="71.25">
      <c r="A59" s="8"/>
      <c r="B59" s="9" t="s">
        <v>4</v>
      </c>
      <c r="C59" s="9" t="s">
        <v>5</v>
      </c>
      <c r="D59" s="9" t="s">
        <v>6</v>
      </c>
      <c r="E59" s="9" t="s">
        <v>7</v>
      </c>
      <c r="F59" s="2"/>
    </row>
    <row r="60" spans="1:5" ht="15">
      <c r="A60" s="139" t="s">
        <v>40</v>
      </c>
      <c r="B60" s="139"/>
      <c r="C60" s="139"/>
      <c r="D60" s="12">
        <f>D61</f>
        <v>9.984</v>
      </c>
      <c r="E60" s="12">
        <f>E61</f>
        <v>0.01</v>
      </c>
    </row>
    <row r="61" spans="1:5" ht="30">
      <c r="A61" s="15">
        <v>1</v>
      </c>
      <c r="B61" s="45" t="s">
        <v>41</v>
      </c>
      <c r="C61" s="45" t="s">
        <v>165</v>
      </c>
      <c r="D61" s="17">
        <f>E61*12*$D$2</f>
        <v>9.984</v>
      </c>
      <c r="E61" s="46">
        <v>0.01</v>
      </c>
    </row>
    <row r="62" spans="1:5" ht="32.25" customHeight="1">
      <c r="A62" s="139" t="s">
        <v>43</v>
      </c>
      <c r="B62" s="139"/>
      <c r="C62" s="139"/>
      <c r="D62" s="12">
        <f>D63+D64</f>
        <v>79.872</v>
      </c>
      <c r="E62" s="12">
        <f>E63+E64</f>
        <v>0.08</v>
      </c>
    </row>
    <row r="63" spans="1:5" ht="28.5" customHeight="1">
      <c r="A63" s="15">
        <v>2</v>
      </c>
      <c r="B63" s="45" t="s">
        <v>44</v>
      </c>
      <c r="C63" s="45" t="s">
        <v>45</v>
      </c>
      <c r="D63" s="17">
        <f>E63*$D$2*12</f>
        <v>19.968000000000004</v>
      </c>
      <c r="E63" s="46">
        <v>0.02</v>
      </c>
    </row>
    <row r="64" spans="1:5" ht="30">
      <c r="A64" s="15">
        <v>3</v>
      </c>
      <c r="B64" s="47" t="s">
        <v>46</v>
      </c>
      <c r="C64" s="8" t="s">
        <v>165</v>
      </c>
      <c r="D64" s="17">
        <f>E64*$D$2*12</f>
        <v>59.903999999999996</v>
      </c>
      <c r="E64" s="18">
        <v>0.06</v>
      </c>
    </row>
    <row r="65" spans="1:6" ht="15">
      <c r="A65" s="9"/>
      <c r="B65" s="27" t="s">
        <v>27</v>
      </c>
      <c r="C65" s="27"/>
      <c r="D65" s="48">
        <f>D60+D62</f>
        <v>89.856</v>
      </c>
      <c r="E65" s="12">
        <f>E60+E62</f>
        <v>0.09</v>
      </c>
      <c r="F65" s="6"/>
    </row>
    <row r="66" spans="1:6" ht="15">
      <c r="A66" s="2"/>
      <c r="B66" s="2"/>
      <c r="C66" s="2"/>
      <c r="D66" s="2"/>
      <c r="E66" s="2"/>
      <c r="F66" s="2"/>
    </row>
    <row r="67" spans="2:3" ht="29.25">
      <c r="B67" s="30" t="s">
        <v>436</v>
      </c>
      <c r="C67" s="43">
        <f>C20+C53</f>
        <v>3752.75841821697</v>
      </c>
    </row>
    <row r="68" ht="15">
      <c r="C68" s="43"/>
    </row>
  </sheetData>
  <sheetProtection/>
  <mergeCells count="16">
    <mergeCell ref="A48:C48"/>
    <mergeCell ref="A57:F57"/>
    <mergeCell ref="A60:C60"/>
    <mergeCell ref="A62:C62"/>
    <mergeCell ref="A36:E36"/>
    <mergeCell ref="A39:C39"/>
    <mergeCell ref="A42:C42"/>
    <mergeCell ref="A45:C45"/>
    <mergeCell ref="A4:E4"/>
    <mergeCell ref="A24:F24"/>
    <mergeCell ref="A27:C27"/>
    <mergeCell ref="A29:C29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workbookViewId="0" topLeftCell="A1">
      <selection activeCell="I13" sqref="I13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282</v>
      </c>
    </row>
    <row r="2" spans="1:6" ht="32.25" customHeight="1">
      <c r="A2" s="2"/>
      <c r="B2" s="1" t="s">
        <v>283</v>
      </c>
      <c r="C2" s="4"/>
      <c r="D2" s="5">
        <v>78.3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8" ht="15">
      <c r="A7" s="140" t="s">
        <v>233</v>
      </c>
      <c r="B7" s="141"/>
      <c r="C7" s="142"/>
      <c r="D7" s="12">
        <f>SUM(D8:D9)</f>
        <v>740.1418411566116</v>
      </c>
      <c r="E7" s="12">
        <f>SUM(E8:E9)</f>
        <v>0.7877201374591439</v>
      </c>
      <c r="F7" s="19"/>
      <c r="G7" s="108"/>
      <c r="H7" s="108"/>
    </row>
    <row r="8" spans="1:7" ht="15.75" customHeight="1">
      <c r="A8" s="15">
        <v>1</v>
      </c>
      <c r="B8" s="8" t="s">
        <v>12</v>
      </c>
      <c r="C8" s="16" t="s">
        <v>13</v>
      </c>
      <c r="D8" s="17">
        <f>E8*12*$D$2</f>
        <v>677.1654539401753</v>
      </c>
      <c r="E8" s="60">
        <v>0.7206954597064446</v>
      </c>
      <c r="F8" s="21"/>
      <c r="G8" s="108"/>
    </row>
    <row r="9" spans="1:7" ht="30">
      <c r="A9" s="15">
        <v>2</v>
      </c>
      <c r="B9" s="22" t="s">
        <v>14</v>
      </c>
      <c r="C9" s="22" t="s">
        <v>15</v>
      </c>
      <c r="D9" s="17">
        <f>E9*12*$D$2</f>
        <v>62.9763872164363</v>
      </c>
      <c r="E9" s="60">
        <v>0.06702467775269934</v>
      </c>
      <c r="F9" s="21"/>
      <c r="G9" s="108"/>
    </row>
    <row r="10" spans="1:6" ht="30" customHeight="1">
      <c r="A10" s="140" t="s">
        <v>64</v>
      </c>
      <c r="B10" s="143"/>
      <c r="C10" s="144"/>
      <c r="D10" s="23">
        <f>SUM(D11:D12)</f>
        <v>85.67563517824212</v>
      </c>
      <c r="E10" s="23">
        <f>SUM(E11:E12)</f>
        <v>0.09118309405943181</v>
      </c>
      <c r="F10" s="21"/>
    </row>
    <row r="11" spans="1:7" ht="18.75" customHeight="1">
      <c r="A11" s="15">
        <v>3</v>
      </c>
      <c r="B11" s="22" t="s">
        <v>17</v>
      </c>
      <c r="C11" s="22" t="s">
        <v>18</v>
      </c>
      <c r="D11" s="17">
        <f>E11*12*$D$2</f>
        <v>47.19022995124922</v>
      </c>
      <c r="E11" s="60">
        <v>0.05022374409456069</v>
      </c>
      <c r="F11" s="13"/>
      <c r="G11" s="116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38.485405226992896</v>
      </c>
      <c r="E12" s="60">
        <v>0.04095934996487111</v>
      </c>
      <c r="F12" s="2"/>
    </row>
    <row r="13" spans="1:8" ht="15">
      <c r="A13" s="145" t="s">
        <v>67</v>
      </c>
      <c r="B13" s="146"/>
      <c r="C13" s="146"/>
      <c r="D13" s="24">
        <f>SUM(D14:D15)</f>
        <v>1890.922277955308</v>
      </c>
      <c r="E13" s="24">
        <f>SUM(E14:E15)</f>
        <v>2.0124758173215285</v>
      </c>
      <c r="F13" s="2"/>
      <c r="H13" s="64"/>
    </row>
    <row r="14" spans="1:10" ht="60">
      <c r="A14" s="15">
        <v>5</v>
      </c>
      <c r="B14" s="22" t="s">
        <v>86</v>
      </c>
      <c r="C14" s="22" t="s">
        <v>18</v>
      </c>
      <c r="D14" s="17">
        <f>E14*12*$D$2</f>
        <v>109.98529478456132</v>
      </c>
      <c r="E14" s="60">
        <v>0.11705544357658718</v>
      </c>
      <c r="F14" s="2"/>
      <c r="G14" s="85"/>
      <c r="H14" s="85"/>
      <c r="J14" s="65"/>
    </row>
    <row r="15" spans="1:14" ht="90">
      <c r="A15" s="15">
        <v>6</v>
      </c>
      <c r="B15" s="22" t="s">
        <v>22</v>
      </c>
      <c r="C15" s="22" t="s">
        <v>79</v>
      </c>
      <c r="D15" s="17">
        <f>E15*12*$D$2</f>
        <v>1780.9369831707465</v>
      </c>
      <c r="E15" s="60">
        <v>1.895420373744941</v>
      </c>
      <c r="F15" s="2"/>
      <c r="G15" s="85"/>
      <c r="H15" s="85"/>
      <c r="J15" s="65"/>
      <c r="N15" s="14"/>
    </row>
    <row r="16" spans="1:6" ht="15">
      <c r="A16" s="145" t="s">
        <v>70</v>
      </c>
      <c r="B16" s="145"/>
      <c r="C16" s="145"/>
      <c r="D16" s="25">
        <f>SUM(D17)</f>
        <v>187.58300438205302</v>
      </c>
      <c r="E16" s="23">
        <f>SUM(E17)</f>
        <v>0.199641341402781</v>
      </c>
      <c r="F16" s="2"/>
    </row>
    <row r="17" spans="1:8" ht="15">
      <c r="A17" s="15">
        <v>7</v>
      </c>
      <c r="B17" s="22" t="s">
        <v>25</v>
      </c>
      <c r="C17" s="22" t="s">
        <v>26</v>
      </c>
      <c r="D17" s="17">
        <f>E17*12*$D$2</f>
        <v>187.58300438205302</v>
      </c>
      <c r="E17" s="60">
        <f>0.205741341402781-0.0061</f>
        <v>0.199641341402781</v>
      </c>
      <c r="F17" s="2"/>
      <c r="G17" s="107"/>
      <c r="H17" s="123"/>
    </row>
    <row r="18" spans="1:8" ht="15">
      <c r="A18" s="9"/>
      <c r="B18" s="27" t="s">
        <v>27</v>
      </c>
      <c r="C18" s="27"/>
      <c r="D18" s="48">
        <f>D10+D13+D16+D7</f>
        <v>2904.3227586722146</v>
      </c>
      <c r="E18" s="12">
        <f>E10+E13+E16+E7</f>
        <v>3.091020390242885</v>
      </c>
      <c r="F18" s="6"/>
      <c r="G18" s="113"/>
      <c r="H18" s="85"/>
    </row>
    <row r="19" spans="1:6" ht="15">
      <c r="A19" s="29"/>
      <c r="B19" s="30"/>
      <c r="C19" s="31"/>
      <c r="D19" s="32"/>
      <c r="E19" s="33"/>
      <c r="F19" s="2"/>
    </row>
    <row r="20" spans="1:6" ht="15">
      <c r="A20" s="30"/>
      <c r="B20" s="30"/>
      <c r="C20" s="30"/>
      <c r="D20" s="30"/>
      <c r="E20" s="30"/>
      <c r="F20" s="29"/>
    </row>
    <row r="21" spans="1:6" ht="29.25">
      <c r="A21" s="29"/>
      <c r="B21" s="30" t="s">
        <v>37</v>
      </c>
      <c r="C21" s="43">
        <f>D18</f>
        <v>2904.3227586722146</v>
      </c>
      <c r="D21" s="43"/>
      <c r="E21" s="43"/>
      <c r="F21" s="42"/>
    </row>
    <row r="22" spans="1:6" ht="15">
      <c r="A22" s="29"/>
      <c r="B22" s="30" t="s">
        <v>38</v>
      </c>
      <c r="C22" s="44">
        <f>E18</f>
        <v>3.091020390242885</v>
      </c>
      <c r="D22" s="42"/>
      <c r="E22" s="42"/>
      <c r="F22" s="42"/>
    </row>
    <row r="23" spans="1:6" ht="15">
      <c r="A23" s="29"/>
      <c r="B23" s="30"/>
      <c r="C23" s="44"/>
      <c r="D23" s="42"/>
      <c r="E23" s="42"/>
      <c r="F23" s="42"/>
    </row>
    <row r="24" spans="1:6" ht="42" customHeight="1">
      <c r="A24" s="2"/>
      <c r="B24" s="2"/>
      <c r="C24" s="2"/>
      <c r="D24" s="2"/>
      <c r="E24" s="2"/>
      <c r="F24" s="2"/>
    </row>
    <row r="25" spans="1:6" ht="33" customHeight="1">
      <c r="A25" s="138" t="s">
        <v>39</v>
      </c>
      <c r="B25" s="138"/>
      <c r="C25" s="138"/>
      <c r="D25" s="138"/>
      <c r="E25" s="138"/>
      <c r="F25" s="138"/>
    </row>
    <row r="26" spans="1:6" ht="15">
      <c r="A26" s="1"/>
      <c r="B26" s="1"/>
      <c r="C26" s="1"/>
      <c r="D26" s="2"/>
      <c r="E26" s="2"/>
      <c r="F26" s="2"/>
    </row>
    <row r="27" spans="1:6" ht="71.25">
      <c r="A27" s="8"/>
      <c r="B27" s="9" t="s">
        <v>4</v>
      </c>
      <c r="C27" s="9" t="s">
        <v>5</v>
      </c>
      <c r="D27" s="9" t="s">
        <v>6</v>
      </c>
      <c r="E27" s="9" t="s">
        <v>7</v>
      </c>
      <c r="F27" s="2"/>
    </row>
    <row r="28" spans="1:5" ht="29.25" customHeight="1">
      <c r="A28" s="139" t="s">
        <v>40</v>
      </c>
      <c r="B28" s="139"/>
      <c r="C28" s="139"/>
      <c r="D28" s="12">
        <f>D29</f>
        <v>9.395999999999999</v>
      </c>
      <c r="E28" s="12">
        <f>E29</f>
        <v>0.01</v>
      </c>
    </row>
    <row r="29" spans="1:5" ht="30">
      <c r="A29" s="15">
        <v>1</v>
      </c>
      <c r="B29" s="45" t="s">
        <v>41</v>
      </c>
      <c r="C29" s="45" t="s">
        <v>42</v>
      </c>
      <c r="D29" s="17">
        <f>E29*12*$D$2</f>
        <v>9.395999999999999</v>
      </c>
      <c r="E29" s="46">
        <v>0.01</v>
      </c>
    </row>
    <row r="30" spans="1:5" ht="32.25" customHeight="1">
      <c r="A30" s="139" t="s">
        <v>43</v>
      </c>
      <c r="B30" s="139"/>
      <c r="C30" s="139"/>
      <c r="D30" s="12">
        <f>D31+D32</f>
        <v>75.16799999999999</v>
      </c>
      <c r="E30" s="12">
        <f>E31+E32</f>
        <v>0.08</v>
      </c>
    </row>
    <row r="31" spans="1:5" ht="28.5" customHeight="1">
      <c r="A31" s="15">
        <v>2</v>
      </c>
      <c r="B31" s="45" t="s">
        <v>44</v>
      </c>
      <c r="C31" s="45" t="s">
        <v>45</v>
      </c>
      <c r="D31" s="17">
        <f>E31*$D$2*12</f>
        <v>18.792</v>
      </c>
      <c r="E31" s="46">
        <v>0.02</v>
      </c>
    </row>
    <row r="32" spans="1:5" ht="15">
      <c r="A32" s="15">
        <v>3</v>
      </c>
      <c r="B32" s="47" t="s">
        <v>46</v>
      </c>
      <c r="C32" s="8" t="s">
        <v>213</v>
      </c>
      <c r="D32" s="17">
        <f>E32*$D$2*12</f>
        <v>56.37599999999999</v>
      </c>
      <c r="E32" s="18">
        <v>0.06</v>
      </c>
    </row>
    <row r="33" spans="1:6" ht="15">
      <c r="A33" s="9"/>
      <c r="B33" s="27" t="s">
        <v>27</v>
      </c>
      <c r="C33" s="27"/>
      <c r="D33" s="48">
        <f>D28+D30</f>
        <v>84.564</v>
      </c>
      <c r="E33" s="12">
        <f>E28+E30</f>
        <v>0.09</v>
      </c>
      <c r="F33" s="6"/>
    </row>
    <row r="34" spans="1:6" ht="15">
      <c r="A34" s="2"/>
      <c r="B34" s="2"/>
      <c r="C34" s="2"/>
      <c r="D34" s="2"/>
      <c r="E34" s="2"/>
      <c r="F34" s="2"/>
    </row>
    <row r="35" spans="2:3" ht="43.5">
      <c r="B35" s="30" t="s">
        <v>284</v>
      </c>
      <c r="C35" s="81">
        <v>2904.3227586722146</v>
      </c>
    </row>
  </sheetData>
  <mergeCells count="8">
    <mergeCell ref="A16:C16"/>
    <mergeCell ref="A25:F25"/>
    <mergeCell ref="A28:C28"/>
    <mergeCell ref="A30:C30"/>
    <mergeCell ref="A4:E4"/>
    <mergeCell ref="A7:C7"/>
    <mergeCell ref="A10:C10"/>
    <mergeCell ref="A13:C13"/>
  </mergeCells>
  <printOptions/>
  <pageMargins left="0.31496062992125984" right="0.3937007874015748" top="0.31496062992125984" bottom="0.31496062992125984" header="0" footer="0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N33"/>
  <sheetViews>
    <sheetView zoomScale="75" zoomScaleNormal="75" workbookViewId="0" topLeftCell="A25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30.75" customHeight="1">
      <c r="B1" s="59" t="s">
        <v>285</v>
      </c>
    </row>
    <row r="2" spans="1:6" ht="17.25" customHeight="1">
      <c r="A2" s="2"/>
      <c r="B2" s="1" t="s">
        <v>286</v>
      </c>
      <c r="C2" s="4"/>
      <c r="D2" s="5">
        <v>80.1</v>
      </c>
      <c r="E2" s="6" t="s">
        <v>2</v>
      </c>
      <c r="F2" s="2"/>
    </row>
    <row r="3" spans="1:6" ht="18" customHeight="1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24" customHeight="1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8" ht="15">
      <c r="A7" s="140" t="s">
        <v>233</v>
      </c>
      <c r="B7" s="141"/>
      <c r="C7" s="142"/>
      <c r="D7" s="12">
        <f>SUM(D8:D9)</f>
        <v>888.1702093879338</v>
      </c>
      <c r="E7" s="12">
        <f>SUM(E8:E9)</f>
        <v>0.9240222736037598</v>
      </c>
      <c r="F7" s="19"/>
      <c r="G7" s="108"/>
      <c r="H7" s="108"/>
    </row>
    <row r="8" spans="1:7" ht="15.75" customHeight="1">
      <c r="A8" s="15">
        <v>1</v>
      </c>
      <c r="B8" s="8" t="s">
        <v>12</v>
      </c>
      <c r="C8" s="16" t="s">
        <v>13</v>
      </c>
      <c r="D8" s="17">
        <f>E8*12*$D$2</f>
        <v>812.5985447282103</v>
      </c>
      <c r="E8" s="60">
        <v>0.8454000673410428</v>
      </c>
      <c r="F8" s="21"/>
      <c r="G8" s="108"/>
    </row>
    <row r="9" spans="1:7" ht="30">
      <c r="A9" s="15">
        <v>2</v>
      </c>
      <c r="B9" s="22" t="s">
        <v>14</v>
      </c>
      <c r="C9" s="22" t="s">
        <v>15</v>
      </c>
      <c r="D9" s="17">
        <f>E9*12*$D$2</f>
        <v>75.57166465972357</v>
      </c>
      <c r="E9" s="60">
        <v>0.07862220626271699</v>
      </c>
      <c r="F9" s="21"/>
      <c r="G9" s="108"/>
    </row>
    <row r="10" spans="1:6" ht="22.5" customHeight="1">
      <c r="A10" s="140" t="s">
        <v>64</v>
      </c>
      <c r="B10" s="143"/>
      <c r="C10" s="144"/>
      <c r="D10" s="23">
        <f>SUM(D11:D12)</f>
        <v>85.67563517824212</v>
      </c>
      <c r="E10" s="23">
        <f>SUM(E11:E12)</f>
        <v>0.08913403576596143</v>
      </c>
      <c r="F10" s="21"/>
    </row>
    <row r="11" spans="1:7" ht="31.5" customHeight="1">
      <c r="A11" s="15">
        <v>3</v>
      </c>
      <c r="B11" s="22" t="s">
        <v>17</v>
      </c>
      <c r="C11" s="22" t="s">
        <v>18</v>
      </c>
      <c r="D11" s="17">
        <f>E11*12*$D$2</f>
        <v>47.190229951249215</v>
      </c>
      <c r="E11" s="60">
        <v>0.04909512063176157</v>
      </c>
      <c r="F11" s="13"/>
      <c r="G11" s="116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38.485405226992896</v>
      </c>
      <c r="E12" s="60">
        <v>0.040038915134199854</v>
      </c>
      <c r="F12" s="2"/>
    </row>
    <row r="13" spans="1:8" ht="15">
      <c r="A13" s="145" t="s">
        <v>67</v>
      </c>
      <c r="B13" s="146"/>
      <c r="C13" s="146"/>
      <c r="D13" s="24">
        <f>SUM(D14:D15)</f>
        <v>1893.595827158204</v>
      </c>
      <c r="E13" s="24">
        <f>SUM(E14:E15)</f>
        <v>1.9700331118999208</v>
      </c>
      <c r="F13" s="2"/>
      <c r="G13" s="64"/>
      <c r="H13" s="64"/>
    </row>
    <row r="14" spans="1:10" ht="60">
      <c r="A14" s="15">
        <v>5</v>
      </c>
      <c r="B14" s="22" t="s">
        <v>86</v>
      </c>
      <c r="C14" s="22" t="s">
        <v>18</v>
      </c>
      <c r="D14" s="17">
        <f>E14*12*$D$2</f>
        <v>109.98529478456133</v>
      </c>
      <c r="E14" s="60">
        <v>0.11442498417037175</v>
      </c>
      <c r="F14" s="2"/>
      <c r="G14" s="64"/>
      <c r="H14" s="64"/>
      <c r="J14" s="65"/>
    </row>
    <row r="15" spans="1:14" ht="75">
      <c r="A15" s="15">
        <v>6</v>
      </c>
      <c r="B15" s="22" t="s">
        <v>22</v>
      </c>
      <c r="C15" s="22" t="s">
        <v>287</v>
      </c>
      <c r="D15" s="17">
        <f>E15*12*$D$2</f>
        <v>1783.6105323736426</v>
      </c>
      <c r="E15" s="60">
        <v>1.855608127729549</v>
      </c>
      <c r="F15" s="2"/>
      <c r="G15" s="64"/>
      <c r="H15" s="64"/>
      <c r="J15" s="65"/>
      <c r="N15" s="14"/>
    </row>
    <row r="16" spans="1:6" ht="15">
      <c r="A16" s="145" t="s">
        <v>70</v>
      </c>
      <c r="B16" s="145"/>
      <c r="C16" s="145"/>
      <c r="D16" s="25">
        <f>SUM(D17)</f>
        <v>188.7896529131311</v>
      </c>
      <c r="E16" s="23">
        <f>SUM(E17)</f>
        <v>0.196410375481826</v>
      </c>
      <c r="F16" s="2"/>
    </row>
    <row r="17" spans="1:8" ht="15">
      <c r="A17" s="15">
        <v>7</v>
      </c>
      <c r="B17" s="22" t="s">
        <v>25</v>
      </c>
      <c r="C17" s="22" t="s">
        <v>26</v>
      </c>
      <c r="D17" s="17">
        <f>E17*12*$D$2</f>
        <v>188.7896529131311</v>
      </c>
      <c r="E17" s="60">
        <f>0.202910375481826-0.0065</f>
        <v>0.196410375481826</v>
      </c>
      <c r="F17" s="2"/>
      <c r="G17" s="107"/>
      <c r="H17" s="64"/>
    </row>
    <row r="18" spans="1:8" ht="15">
      <c r="A18" s="9"/>
      <c r="B18" s="27" t="s">
        <v>27</v>
      </c>
      <c r="C18" s="27"/>
      <c r="D18" s="48">
        <f>D10+D13+D16+D7</f>
        <v>3056.231324637511</v>
      </c>
      <c r="E18" s="12">
        <f>E10+E13+E16+E7</f>
        <v>3.179599796751468</v>
      </c>
      <c r="F18" s="6"/>
      <c r="G18" s="107"/>
      <c r="H18" s="64"/>
    </row>
    <row r="19" spans="1:6" ht="27" customHeight="1">
      <c r="A19" s="30"/>
      <c r="B19" s="30"/>
      <c r="C19" s="30"/>
      <c r="D19" s="30"/>
      <c r="E19" s="30"/>
      <c r="F19" s="29"/>
    </row>
    <row r="20" spans="1:6" ht="29.25">
      <c r="A20" s="29"/>
      <c r="B20" s="30" t="s">
        <v>37</v>
      </c>
      <c r="C20" s="43">
        <f>D18</f>
        <v>3056.231324637511</v>
      </c>
      <c r="D20" s="43"/>
      <c r="E20" s="43"/>
      <c r="F20" s="42"/>
    </row>
    <row r="21" spans="1:6" ht="15">
      <c r="A21" s="29"/>
      <c r="B21" s="30" t="s">
        <v>38</v>
      </c>
      <c r="C21" s="44">
        <f>E18</f>
        <v>3.179599796751468</v>
      </c>
      <c r="D21" s="42"/>
      <c r="E21" s="42"/>
      <c r="F21" s="42"/>
    </row>
    <row r="22" spans="1:6" ht="23.25" customHeight="1">
      <c r="A22" s="29"/>
      <c r="B22" s="30"/>
      <c r="C22" s="44"/>
      <c r="D22" s="42"/>
      <c r="E22" s="42"/>
      <c r="F22" s="42"/>
    </row>
    <row r="23" spans="1:6" ht="33" customHeight="1">
      <c r="A23" s="138" t="s">
        <v>39</v>
      </c>
      <c r="B23" s="138"/>
      <c r="C23" s="138"/>
      <c r="D23" s="138"/>
      <c r="E23" s="138"/>
      <c r="F23" s="138"/>
    </row>
    <row r="24" spans="1:6" ht="21" customHeight="1">
      <c r="A24" s="1"/>
      <c r="B24" s="1"/>
      <c r="C24" s="1"/>
      <c r="D24" s="2"/>
      <c r="E24" s="2"/>
      <c r="F24" s="2"/>
    </row>
    <row r="25" spans="1:6" ht="71.25">
      <c r="A25" s="8"/>
      <c r="B25" s="9" t="s">
        <v>4</v>
      </c>
      <c r="C25" s="9" t="s">
        <v>5</v>
      </c>
      <c r="D25" s="9" t="s">
        <v>6</v>
      </c>
      <c r="E25" s="9" t="s">
        <v>7</v>
      </c>
      <c r="F25" s="2"/>
    </row>
    <row r="26" spans="1:5" ht="33" customHeight="1">
      <c r="A26" s="139" t="s">
        <v>40</v>
      </c>
      <c r="B26" s="139"/>
      <c r="C26" s="139"/>
      <c r="D26" s="12">
        <f>D27</f>
        <v>9.611999999999998</v>
      </c>
      <c r="E26" s="12">
        <f>E27</f>
        <v>0.01</v>
      </c>
    </row>
    <row r="27" spans="1:5" ht="30">
      <c r="A27" s="15">
        <v>1</v>
      </c>
      <c r="B27" s="45" t="s">
        <v>41</v>
      </c>
      <c r="C27" s="45" t="s">
        <v>42</v>
      </c>
      <c r="D27" s="17">
        <f>E27*12*$D$2</f>
        <v>9.611999999999998</v>
      </c>
      <c r="E27" s="46">
        <v>0.01</v>
      </c>
    </row>
    <row r="28" spans="1:5" ht="32.25" customHeight="1">
      <c r="A28" s="139" t="s">
        <v>43</v>
      </c>
      <c r="B28" s="139"/>
      <c r="C28" s="139"/>
      <c r="D28" s="12">
        <f>D29+D30</f>
        <v>76.89599999999999</v>
      </c>
      <c r="E28" s="12">
        <f>E29+E30</f>
        <v>0.08</v>
      </c>
    </row>
    <row r="29" spans="1:5" ht="28.5" customHeight="1">
      <c r="A29" s="15">
        <v>2</v>
      </c>
      <c r="B29" s="45" t="s">
        <v>44</v>
      </c>
      <c r="C29" s="45" t="s">
        <v>45</v>
      </c>
      <c r="D29" s="17">
        <f>E29*$D$2*12</f>
        <v>19.223999999999997</v>
      </c>
      <c r="E29" s="46">
        <v>0.02</v>
      </c>
    </row>
    <row r="30" spans="1:5" ht="15">
      <c r="A30" s="15">
        <v>3</v>
      </c>
      <c r="B30" s="47" t="s">
        <v>46</v>
      </c>
      <c r="C30" s="8" t="s">
        <v>213</v>
      </c>
      <c r="D30" s="17">
        <f>E30*$D$2*12</f>
        <v>57.67199999999999</v>
      </c>
      <c r="E30" s="18">
        <v>0.06</v>
      </c>
    </row>
    <row r="31" spans="1:6" ht="15">
      <c r="A31" s="9"/>
      <c r="B31" s="27" t="s">
        <v>27</v>
      </c>
      <c r="C31" s="27"/>
      <c r="D31" s="48">
        <f>D26+D28</f>
        <v>86.50799999999998</v>
      </c>
      <c r="E31" s="12">
        <f>E26+E28</f>
        <v>0.09</v>
      </c>
      <c r="F31" s="6"/>
    </row>
    <row r="32" spans="1:6" ht="15">
      <c r="A32" s="2"/>
      <c r="B32" s="2"/>
      <c r="C32" s="2"/>
      <c r="D32" s="2"/>
      <c r="E32" s="2"/>
      <c r="F32" s="2"/>
    </row>
    <row r="33" spans="2:4" ht="43.5">
      <c r="B33" s="30" t="s">
        <v>288</v>
      </c>
      <c r="D33" s="81">
        <v>3056.231324637511</v>
      </c>
    </row>
  </sheetData>
  <mergeCells count="8">
    <mergeCell ref="A16:C16"/>
    <mergeCell ref="A23:F23"/>
    <mergeCell ref="A26:C26"/>
    <mergeCell ref="A28:C28"/>
    <mergeCell ref="A4:E4"/>
    <mergeCell ref="A7:C7"/>
    <mergeCell ref="A10:C10"/>
    <mergeCell ref="A13:C1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workbookViewId="0" topLeftCell="A40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59" t="s">
        <v>144</v>
      </c>
    </row>
    <row r="2" spans="1:6" ht="32.25" customHeight="1">
      <c r="A2" s="2"/>
      <c r="B2" s="1" t="s">
        <v>145</v>
      </c>
      <c r="C2" s="4"/>
      <c r="D2" s="5">
        <v>53.75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30.75" customHeight="1">
      <c r="A7" s="145" t="s">
        <v>8</v>
      </c>
      <c r="B7" s="146"/>
      <c r="C7" s="146"/>
      <c r="D7" s="12">
        <f>SUM(D8:D11)</f>
        <v>939.7292102977692</v>
      </c>
      <c r="E7" s="12">
        <f>SUM(E8:E11)</f>
        <v>1.4569445120895645</v>
      </c>
      <c r="F7" s="13"/>
    </row>
    <row r="8" spans="1:8" ht="15.75" customHeight="1">
      <c r="A8" s="15">
        <v>1</v>
      </c>
      <c r="B8" s="8" t="s">
        <v>146</v>
      </c>
      <c r="C8" s="16" t="s">
        <v>147</v>
      </c>
      <c r="D8" s="17">
        <f>E8*$D$2*12</f>
        <v>367.3305866703859</v>
      </c>
      <c r="E8" s="82">
        <v>0.569504785535482</v>
      </c>
      <c r="F8" s="2"/>
      <c r="H8" s="56"/>
    </row>
    <row r="9" spans="1:9" ht="15.75" customHeight="1">
      <c r="A9" s="15">
        <v>2</v>
      </c>
      <c r="B9" s="8" t="s">
        <v>9</v>
      </c>
      <c r="C9" s="16" t="s">
        <v>10</v>
      </c>
      <c r="D9" s="17">
        <f>E9*$D$2*12</f>
        <v>521.7272931532327</v>
      </c>
      <c r="E9" s="82">
        <v>0.8088795242685778</v>
      </c>
      <c r="F9" s="2"/>
      <c r="H9" s="61"/>
      <c r="I9" s="61"/>
    </row>
    <row r="10" spans="1:6" ht="15.75" customHeight="1">
      <c r="A10" s="15">
        <v>3</v>
      </c>
      <c r="B10" s="22" t="s">
        <v>148</v>
      </c>
      <c r="C10" s="22" t="s">
        <v>149</v>
      </c>
      <c r="D10" s="17">
        <f>E10*$D$2*12</f>
        <v>31.37389503559205</v>
      </c>
      <c r="E10" s="82">
        <v>0.04864169772960008</v>
      </c>
      <c r="F10" s="2"/>
    </row>
    <row r="11" spans="1:9" ht="15.75" customHeight="1">
      <c r="A11" s="15">
        <v>4</v>
      </c>
      <c r="B11" s="22" t="s">
        <v>150</v>
      </c>
      <c r="C11" s="22" t="s">
        <v>18</v>
      </c>
      <c r="D11" s="17">
        <f>E11*$D$2*12</f>
        <v>19.297435438558605</v>
      </c>
      <c r="E11" s="82">
        <v>0.029918504555904814</v>
      </c>
      <c r="F11" s="21"/>
      <c r="H11" s="62"/>
      <c r="I11" s="56"/>
    </row>
    <row r="12" spans="1:9" ht="15">
      <c r="A12" s="140" t="s">
        <v>11</v>
      </c>
      <c r="B12" s="141"/>
      <c r="C12" s="142"/>
      <c r="D12" s="12">
        <f>SUM(D13:D14)</f>
        <v>296.05673646264466</v>
      </c>
      <c r="E12" s="12">
        <f>SUM(E13:E14)</f>
        <v>0.4590026921901467</v>
      </c>
      <c r="F12" s="19"/>
      <c r="H12" s="62"/>
      <c r="I12" s="56"/>
    </row>
    <row r="13" spans="1:6" ht="15.75" customHeight="1">
      <c r="A13" s="15">
        <v>5</v>
      </c>
      <c r="B13" s="8" t="s">
        <v>12</v>
      </c>
      <c r="C13" s="16" t="s">
        <v>13</v>
      </c>
      <c r="D13" s="17">
        <f>E13*$D$2*12</f>
        <v>270.8661815760701</v>
      </c>
      <c r="E13" s="83">
        <v>0.4199475683349924</v>
      </c>
      <c r="F13" s="21"/>
    </row>
    <row r="14" spans="1:6" ht="30">
      <c r="A14" s="15">
        <v>6</v>
      </c>
      <c r="B14" s="22" t="s">
        <v>14</v>
      </c>
      <c r="C14" s="22" t="s">
        <v>15</v>
      </c>
      <c r="D14" s="17">
        <f>E14*$D$2*12</f>
        <v>25.190554886574525</v>
      </c>
      <c r="E14" s="83">
        <v>0.0390551238551543</v>
      </c>
      <c r="F14" s="21"/>
    </row>
    <row r="15" spans="1:6" ht="30" customHeight="1">
      <c r="A15" s="140" t="s">
        <v>16</v>
      </c>
      <c r="B15" s="143"/>
      <c r="C15" s="144"/>
      <c r="D15" s="23">
        <f>SUM(D16:D17)</f>
        <v>164.385315521039</v>
      </c>
      <c r="E15" s="23">
        <f>SUM(E16:E17)</f>
        <v>0.2548609542961845</v>
      </c>
      <c r="F15" s="21"/>
    </row>
    <row r="16" spans="1:6" ht="34.5" customHeight="1">
      <c r="A16" s="15">
        <v>7</v>
      </c>
      <c r="B16" s="22" t="s">
        <v>17</v>
      </c>
      <c r="C16" s="22" t="s">
        <v>18</v>
      </c>
      <c r="D16" s="17">
        <f>E16*12*$D$2</f>
        <v>94.38045990249843</v>
      </c>
      <c r="E16" s="82">
        <v>0.1463262944224782</v>
      </c>
      <c r="F16" s="13"/>
    </row>
    <row r="17" spans="1:6" ht="60">
      <c r="A17" s="15">
        <v>8</v>
      </c>
      <c r="B17" s="22" t="s">
        <v>19</v>
      </c>
      <c r="C17" s="22" t="s">
        <v>18</v>
      </c>
      <c r="D17" s="17">
        <f>E17*12*$D$2</f>
        <v>70.00485561854056</v>
      </c>
      <c r="E17" s="84">
        <v>0.1085346598737063</v>
      </c>
      <c r="F17" s="2"/>
    </row>
    <row r="18" spans="1:6" ht="15">
      <c r="A18" s="145" t="s">
        <v>20</v>
      </c>
      <c r="B18" s="146"/>
      <c r="C18" s="146"/>
      <c r="D18" s="24">
        <f>SUM(D19:D20)</f>
        <v>1119.0845701134451</v>
      </c>
      <c r="E18" s="24">
        <f>SUM(E19:E20)</f>
        <v>1.7350148373851861</v>
      </c>
      <c r="F18" s="2"/>
    </row>
    <row r="19" spans="1:10" ht="60">
      <c r="A19" s="15">
        <v>9</v>
      </c>
      <c r="B19" s="22" t="s">
        <v>86</v>
      </c>
      <c r="C19" s="22" t="s">
        <v>18</v>
      </c>
      <c r="D19" s="17">
        <f>E19*12*$D$2</f>
        <v>129.83078335474585</v>
      </c>
      <c r="E19" s="63">
        <v>0.20128803620890828</v>
      </c>
      <c r="F19" s="2"/>
      <c r="H19" s="85"/>
      <c r="I19" s="64"/>
      <c r="J19" s="65"/>
    </row>
    <row r="20" spans="1:10" ht="90">
      <c r="A20" s="15">
        <v>10</v>
      </c>
      <c r="B20" s="22" t="s">
        <v>22</v>
      </c>
      <c r="C20" s="22" t="s">
        <v>79</v>
      </c>
      <c r="D20" s="17">
        <f>E20*12*$D$2</f>
        <v>989.2537867586992</v>
      </c>
      <c r="E20" s="63">
        <v>1.533726801176278</v>
      </c>
      <c r="F20" s="2"/>
      <c r="H20" s="85"/>
      <c r="I20" s="64"/>
      <c r="J20" s="65"/>
    </row>
    <row r="21" spans="1:6" ht="15">
      <c r="A21" s="145" t="s">
        <v>24</v>
      </c>
      <c r="B21" s="145"/>
      <c r="C21" s="145"/>
      <c r="D21" s="25">
        <f>SUM(D22)</f>
        <v>160.776</v>
      </c>
      <c r="E21" s="23">
        <f>SUM(E22)</f>
        <v>0.24926511627906978</v>
      </c>
      <c r="F21" s="2"/>
    </row>
    <row r="22" spans="1:6" ht="15">
      <c r="A22" s="15">
        <v>11</v>
      </c>
      <c r="B22" s="22" t="s">
        <v>25</v>
      </c>
      <c r="C22" s="22" t="s">
        <v>26</v>
      </c>
      <c r="D22" s="17">
        <f>E22*12*$D$2</f>
        <v>160.776</v>
      </c>
      <c r="E22" s="83">
        <v>0.24926511627906978</v>
      </c>
      <c r="F22" s="2"/>
    </row>
    <row r="23" spans="1:6" ht="15">
      <c r="A23" s="145" t="s">
        <v>151</v>
      </c>
      <c r="B23" s="145"/>
      <c r="C23" s="145"/>
      <c r="D23" s="25">
        <f>SUM(D24:D24)</f>
        <v>23.730284814936976</v>
      </c>
      <c r="E23" s="23">
        <f>SUM(E24:E24)</f>
        <v>0.0367911392479643</v>
      </c>
      <c r="F23" s="2"/>
    </row>
    <row r="24" spans="1:6" ht="30">
      <c r="A24" s="15">
        <v>12</v>
      </c>
      <c r="B24" s="22" t="s">
        <v>152</v>
      </c>
      <c r="C24" s="22" t="s">
        <v>15</v>
      </c>
      <c r="D24" s="17">
        <f>E24*12*$D$2</f>
        <v>23.730284814936976</v>
      </c>
      <c r="E24" s="83">
        <f>0.0422911392479643-0.0055</f>
        <v>0.0367911392479643</v>
      </c>
      <c r="F24" s="2"/>
    </row>
    <row r="25" spans="1:6" ht="15">
      <c r="A25" s="9"/>
      <c r="B25" s="27" t="s">
        <v>27</v>
      </c>
      <c r="C25" s="27"/>
      <c r="D25" s="48">
        <f>D7+D12+D15+D18+D21+D23</f>
        <v>2703.7621172098347</v>
      </c>
      <c r="E25" s="12">
        <f>E7+E12+E15+E18+E21+E23</f>
        <v>4.191879251488116</v>
      </c>
      <c r="F25" s="6"/>
    </row>
    <row r="26" spans="1:6" ht="15">
      <c r="A26" s="29"/>
      <c r="B26" s="30"/>
      <c r="C26" s="31"/>
      <c r="D26" s="32"/>
      <c r="E26" s="33"/>
      <c r="F26" s="2"/>
    </row>
    <row r="27" spans="1:6" ht="15">
      <c r="A27" s="30"/>
      <c r="B27" s="30"/>
      <c r="C27" s="30"/>
      <c r="D27" s="30"/>
      <c r="E27" s="30"/>
      <c r="F27" s="29"/>
    </row>
    <row r="28" spans="1:6" ht="105">
      <c r="A28" s="11" t="s">
        <v>28</v>
      </c>
      <c r="B28" s="11" t="s">
        <v>29</v>
      </c>
      <c r="C28" s="11" t="s">
        <v>30</v>
      </c>
      <c r="D28" s="11" t="s">
        <v>31</v>
      </c>
      <c r="E28" s="11" t="s">
        <v>32</v>
      </c>
      <c r="F28" s="11" t="s">
        <v>33</v>
      </c>
    </row>
    <row r="29" spans="1:6" ht="15">
      <c r="A29" s="11">
        <v>1</v>
      </c>
      <c r="B29" s="8" t="s">
        <v>123</v>
      </c>
      <c r="C29" s="11" t="s">
        <v>81</v>
      </c>
      <c r="D29" s="11">
        <v>1404.7</v>
      </c>
      <c r="E29" s="37">
        <f>D29/12/$D$2</f>
        <v>2.177829457364341</v>
      </c>
      <c r="F29" s="38">
        <v>2</v>
      </c>
    </row>
    <row r="30" spans="1:6" ht="15">
      <c r="A30" s="11"/>
      <c r="B30" s="39" t="s">
        <v>36</v>
      </c>
      <c r="C30" s="10"/>
      <c r="D30" s="54">
        <f>SUM(D29:D29)</f>
        <v>1404.7</v>
      </c>
      <c r="E30" s="86">
        <f>D30/12/$D$2</f>
        <v>2.177829457364341</v>
      </c>
      <c r="F30" s="41"/>
    </row>
    <row r="31" spans="1:6" ht="15">
      <c r="A31" s="29"/>
      <c r="B31" s="30"/>
      <c r="C31" s="42"/>
      <c r="D31" s="42"/>
      <c r="E31" s="42"/>
      <c r="F31" s="42"/>
    </row>
    <row r="32" spans="1:6" ht="29.25">
      <c r="A32" s="29"/>
      <c r="B32" s="30" t="s">
        <v>37</v>
      </c>
      <c r="C32" s="43">
        <f>D25+D30</f>
        <v>4108.462117209835</v>
      </c>
      <c r="D32" s="43"/>
      <c r="E32" s="43"/>
      <c r="F32" s="42"/>
    </row>
    <row r="33" spans="1:6" ht="15">
      <c r="A33" s="29"/>
      <c r="B33" s="30" t="s">
        <v>38</v>
      </c>
      <c r="C33" s="44">
        <f>E25+E30</f>
        <v>6.369708708852457</v>
      </c>
      <c r="D33" s="42"/>
      <c r="E33" s="42"/>
      <c r="F33" s="42"/>
    </row>
    <row r="34" spans="1:6" ht="15">
      <c r="A34" s="29"/>
      <c r="B34" s="30"/>
      <c r="C34" s="44"/>
      <c r="D34" s="42"/>
      <c r="E34" s="42"/>
      <c r="F34" s="42"/>
    </row>
    <row r="35" spans="1:6" ht="15">
      <c r="A35" s="2"/>
      <c r="B35" s="2"/>
      <c r="C35" s="2"/>
      <c r="D35" s="2"/>
      <c r="E35" s="2"/>
      <c r="F35" s="2"/>
    </row>
    <row r="36" spans="1:6" ht="33" customHeight="1">
      <c r="A36" s="138" t="s">
        <v>39</v>
      </c>
      <c r="B36" s="138"/>
      <c r="C36" s="138"/>
      <c r="D36" s="138"/>
      <c r="E36" s="138"/>
      <c r="F36" s="138"/>
    </row>
    <row r="37" spans="1:6" ht="15">
      <c r="A37" s="1"/>
      <c r="B37" s="1"/>
      <c r="C37" s="1"/>
      <c r="D37" s="2"/>
      <c r="E37" s="2"/>
      <c r="F37" s="2"/>
    </row>
    <row r="38" spans="1:6" ht="71.25">
      <c r="A38" s="8"/>
      <c r="B38" s="9" t="s">
        <v>4</v>
      </c>
      <c r="C38" s="9" t="s">
        <v>5</v>
      </c>
      <c r="D38" s="9" t="s">
        <v>6</v>
      </c>
      <c r="E38" s="9" t="s">
        <v>7</v>
      </c>
      <c r="F38" s="2"/>
    </row>
    <row r="39" spans="1:5" ht="30.75" customHeight="1">
      <c r="A39" s="139" t="s">
        <v>40</v>
      </c>
      <c r="B39" s="139"/>
      <c r="C39" s="139"/>
      <c r="D39" s="12">
        <f>D40</f>
        <v>6.45</v>
      </c>
      <c r="E39" s="12">
        <f>E40</f>
        <v>0.01</v>
      </c>
    </row>
    <row r="40" spans="1:5" ht="30">
      <c r="A40" s="15">
        <v>1</v>
      </c>
      <c r="B40" s="45" t="s">
        <v>41</v>
      </c>
      <c r="C40" s="45" t="s">
        <v>42</v>
      </c>
      <c r="D40" s="17">
        <f>E40*12*$D$2</f>
        <v>6.45</v>
      </c>
      <c r="E40" s="46">
        <v>0.01</v>
      </c>
    </row>
    <row r="41" spans="1:5" ht="32.25" customHeight="1">
      <c r="A41" s="139" t="s">
        <v>43</v>
      </c>
      <c r="B41" s="139"/>
      <c r="C41" s="139"/>
      <c r="D41" s="12">
        <f>D42+D43+D44</f>
        <v>193.5</v>
      </c>
      <c r="E41" s="12">
        <f>E42+E43+E44</f>
        <v>0.3</v>
      </c>
    </row>
    <row r="42" spans="1:5" ht="28.5" customHeight="1">
      <c r="A42" s="15">
        <v>2</v>
      </c>
      <c r="B42" s="45" t="s">
        <v>44</v>
      </c>
      <c r="C42" s="45" t="s">
        <v>45</v>
      </c>
      <c r="D42" s="17">
        <f>E42*$D$2*12</f>
        <v>12.899999999999999</v>
      </c>
      <c r="E42" s="46">
        <v>0.02</v>
      </c>
    </row>
    <row r="43" spans="1:5" ht="30">
      <c r="A43" s="15">
        <v>3</v>
      </c>
      <c r="B43" s="87" t="s">
        <v>153</v>
      </c>
      <c r="C43" s="87" t="s">
        <v>154</v>
      </c>
      <c r="D43" s="17">
        <f>E43*$D$2*12</f>
        <v>141.89999999999998</v>
      </c>
      <c r="E43" s="46">
        <v>0.22</v>
      </c>
    </row>
    <row r="44" spans="1:5" ht="15">
      <c r="A44" s="15">
        <v>4</v>
      </c>
      <c r="B44" s="47" t="s">
        <v>46</v>
      </c>
      <c r="C44" s="8" t="s">
        <v>42</v>
      </c>
      <c r="D44" s="17">
        <f>E44*$D$2*12</f>
        <v>38.7</v>
      </c>
      <c r="E44" s="18">
        <v>0.06</v>
      </c>
    </row>
    <row r="45" spans="1:6" ht="15">
      <c r="A45" s="9"/>
      <c r="B45" s="27" t="s">
        <v>27</v>
      </c>
      <c r="C45" s="27"/>
      <c r="D45" s="48">
        <f>D39+D41</f>
        <v>199.95</v>
      </c>
      <c r="E45" s="12">
        <f>E39+E41</f>
        <v>0.31</v>
      </c>
      <c r="F45" s="6"/>
    </row>
    <row r="46" spans="1:6" ht="15">
      <c r="A46" s="2"/>
      <c r="B46" s="2"/>
      <c r="C46" s="2"/>
      <c r="D46" s="2"/>
      <c r="E46" s="2"/>
      <c r="F46" s="2"/>
    </row>
    <row r="47" spans="1:6" ht="15">
      <c r="A47" s="34"/>
      <c r="B47" s="34"/>
      <c r="C47" s="34"/>
      <c r="D47" s="34"/>
      <c r="E47" s="34"/>
      <c r="F47" s="35"/>
    </row>
    <row r="48" spans="1:6" ht="105">
      <c r="A48" s="11" t="s">
        <v>28</v>
      </c>
      <c r="B48" s="11" t="s">
        <v>29</v>
      </c>
      <c r="C48" s="11" t="s">
        <v>30</v>
      </c>
      <c r="D48" s="11" t="s">
        <v>31</v>
      </c>
      <c r="E48" s="11" t="s">
        <v>47</v>
      </c>
      <c r="F48" s="11" t="s">
        <v>33</v>
      </c>
    </row>
    <row r="49" spans="1:6" ht="15">
      <c r="A49" s="11">
        <v>1</v>
      </c>
      <c r="B49" s="8" t="s">
        <v>123</v>
      </c>
      <c r="C49" s="11" t="s">
        <v>82</v>
      </c>
      <c r="D49" s="77">
        <v>351.2</v>
      </c>
      <c r="E49" s="50">
        <f>D49/12/$D$2</f>
        <v>0.5444961240310078</v>
      </c>
      <c r="F49" s="38">
        <v>2</v>
      </c>
    </row>
    <row r="50" spans="1:6" ht="15">
      <c r="A50" s="51"/>
      <c r="B50" s="51" t="s">
        <v>36</v>
      </c>
      <c r="C50" s="51"/>
      <c r="D50" s="52">
        <f>SUM(D49:D49)</f>
        <v>351.2</v>
      </c>
      <c r="E50" s="53">
        <f>SUM(E49:E49)</f>
        <v>0.5444961240310078</v>
      </c>
      <c r="F50" s="51"/>
    </row>
    <row r="53" spans="2:3" ht="42.75">
      <c r="B53" s="88" t="s">
        <v>155</v>
      </c>
      <c r="C53" s="81">
        <v>4108.462117209835</v>
      </c>
    </row>
  </sheetData>
  <mergeCells count="10">
    <mergeCell ref="A39:C39"/>
    <mergeCell ref="A41:C41"/>
    <mergeCell ref="A18:C18"/>
    <mergeCell ref="A21:C21"/>
    <mergeCell ref="A23:C23"/>
    <mergeCell ref="A36:F36"/>
    <mergeCell ref="A4:E4"/>
    <mergeCell ref="A7:C7"/>
    <mergeCell ref="A12:C12"/>
    <mergeCell ref="A15:C15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G135"/>
  <sheetViews>
    <sheetView zoomScale="97" zoomScaleNormal="97" workbookViewId="0" topLeftCell="A10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38" t="s">
        <v>96</v>
      </c>
      <c r="B1" s="138"/>
      <c r="C1" s="138"/>
      <c r="D1" s="138"/>
      <c r="E1" s="138"/>
      <c r="F1" s="2"/>
    </row>
    <row r="2" spans="1:6" ht="39" customHeight="1">
      <c r="A2" s="2"/>
      <c r="B2" s="1" t="s">
        <v>97</v>
      </c>
      <c r="C2" s="4"/>
      <c r="D2" s="5">
        <v>82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722.7283222028537</v>
      </c>
      <c r="E7" s="12">
        <f>SUM(E8:E9)</f>
        <v>0.7344800022386726</v>
      </c>
      <c r="F7" s="19"/>
      <c r="G7" s="14"/>
    </row>
    <row r="8" spans="1:7" ht="15.75" customHeight="1">
      <c r="A8" s="15">
        <v>1</v>
      </c>
      <c r="B8" s="8" t="s">
        <v>12</v>
      </c>
      <c r="C8" s="16" t="s">
        <v>13</v>
      </c>
      <c r="D8" s="17">
        <f>E8*$D$2*12</f>
        <v>661.2335976238369</v>
      </c>
      <c r="E8" s="20">
        <v>0.6719853634388586</v>
      </c>
      <c r="F8" s="21"/>
      <c r="G8" s="14"/>
    </row>
    <row r="9" spans="1:7" ht="30">
      <c r="A9" s="15">
        <v>2</v>
      </c>
      <c r="B9" s="22" t="s">
        <v>14</v>
      </c>
      <c r="C9" s="22" t="s">
        <v>15</v>
      </c>
      <c r="D9" s="17">
        <f>E9*$D$2*12</f>
        <v>61.4947245790169</v>
      </c>
      <c r="E9" s="17">
        <v>0.06249463879981393</v>
      </c>
      <c r="F9" s="21"/>
      <c r="G9" s="14"/>
    </row>
    <row r="10" spans="1:7" ht="15">
      <c r="A10" s="140" t="s">
        <v>64</v>
      </c>
      <c r="B10" s="143"/>
      <c r="C10" s="144"/>
      <c r="D10" s="23">
        <f>SUM(D11:D11)</f>
        <v>31.31662383516484</v>
      </c>
      <c r="E10" s="23">
        <f>SUM(E11:E11)</f>
        <v>0.03182583723085858</v>
      </c>
      <c r="F10" s="21"/>
      <c r="G10" s="14"/>
    </row>
    <row r="11" spans="1:7" ht="60">
      <c r="A11" s="15">
        <v>3</v>
      </c>
      <c r="B11" s="22" t="s">
        <v>19</v>
      </c>
      <c r="C11" s="22" t="s">
        <v>18</v>
      </c>
      <c r="D11" s="17">
        <f>E11*12*$D$2</f>
        <v>31.31662383516484</v>
      </c>
      <c r="E11" s="17">
        <v>0.03182583723085858</v>
      </c>
      <c r="F11" s="2"/>
      <c r="G11" s="14"/>
    </row>
    <row r="12" spans="1:7" ht="15">
      <c r="A12" s="145" t="s">
        <v>67</v>
      </c>
      <c r="B12" s="146"/>
      <c r="C12" s="146"/>
      <c r="D12" s="24">
        <f>SUM(D13:D14)</f>
        <v>1532.4594044221928</v>
      </c>
      <c r="E12" s="24">
        <f>SUM(E13:E14)</f>
        <v>1.5573774435184886</v>
      </c>
      <c r="F12" s="2"/>
      <c r="G12" s="14"/>
    </row>
    <row r="13" spans="1:7" ht="75">
      <c r="A13" s="15">
        <v>4</v>
      </c>
      <c r="B13" s="22" t="s">
        <v>98</v>
      </c>
      <c r="C13" s="22" t="s">
        <v>18</v>
      </c>
      <c r="D13" s="17">
        <f>E13*12*$D$2</f>
        <v>4.69749357527473</v>
      </c>
      <c r="E13" s="17">
        <f>0.00477387558462879</f>
        <v>0.00477387558462879</v>
      </c>
      <c r="F13" s="2"/>
      <c r="G13" s="14"/>
    </row>
    <row r="14" spans="1:7" ht="90">
      <c r="A14" s="15">
        <v>5</v>
      </c>
      <c r="B14" s="22" t="s">
        <v>22</v>
      </c>
      <c r="C14" s="22" t="s">
        <v>79</v>
      </c>
      <c r="D14" s="17">
        <f>E14*12*$D$2</f>
        <v>1527.7619108469182</v>
      </c>
      <c r="E14" s="20">
        <f>1.56260356793386-0.01</f>
        <v>1.55260356793386</v>
      </c>
      <c r="F14" s="2"/>
      <c r="G14" s="14"/>
    </row>
    <row r="15" spans="1:7" ht="15">
      <c r="A15" s="145" t="s">
        <v>70</v>
      </c>
      <c r="B15" s="145"/>
      <c r="C15" s="145"/>
      <c r="D15" s="25">
        <f>SUM(D16)</f>
        <v>234.5882303216493</v>
      </c>
      <c r="E15" s="25">
        <f>SUM(E16)</f>
        <v>0.23840267309110702</v>
      </c>
      <c r="F15" s="2"/>
      <c r="G15" s="14"/>
    </row>
    <row r="16" spans="1:7" ht="15">
      <c r="A16" s="15">
        <v>6</v>
      </c>
      <c r="B16" s="22" t="s">
        <v>25</v>
      </c>
      <c r="C16" s="22" t="s">
        <v>26</v>
      </c>
      <c r="D16" s="17">
        <f>E16*12*$D$2</f>
        <v>234.5882303216493</v>
      </c>
      <c r="E16" s="26">
        <f>0.227402673091107+0.011</f>
        <v>0.23840267309110702</v>
      </c>
      <c r="F16" s="2"/>
      <c r="G16" s="14"/>
    </row>
    <row r="17" spans="1:7" ht="15">
      <c r="A17" s="9"/>
      <c r="B17" s="27" t="s">
        <v>27</v>
      </c>
      <c r="C17" s="27"/>
      <c r="D17" s="48">
        <f>D7+D10+D12+D15</f>
        <v>2521.0925807818608</v>
      </c>
      <c r="E17" s="12">
        <v>2.56</v>
      </c>
      <c r="F17" s="6"/>
      <c r="G17" s="14"/>
    </row>
    <row r="18" spans="1:6" ht="15">
      <c r="A18" s="29"/>
      <c r="B18" s="30"/>
      <c r="C18" s="31"/>
      <c r="D18" s="32"/>
      <c r="E18" s="33"/>
      <c r="F18" s="2"/>
    </row>
    <row r="19" spans="1:7" ht="15">
      <c r="A19" s="29"/>
      <c r="B19" s="30"/>
      <c r="C19" s="42"/>
      <c r="D19" s="42"/>
      <c r="E19" s="42"/>
      <c r="F19" s="42"/>
      <c r="G19" s="56"/>
    </row>
    <row r="20" spans="1:6" ht="29.25">
      <c r="A20" s="29"/>
      <c r="B20" s="30" t="s">
        <v>37</v>
      </c>
      <c r="C20" s="43">
        <f>D17</f>
        <v>2521.0925807818608</v>
      </c>
      <c r="D20" s="43"/>
      <c r="E20" s="43"/>
      <c r="F20" s="42"/>
    </row>
    <row r="21" spans="1:6" ht="15">
      <c r="A21" s="29"/>
      <c r="B21" s="30" t="s">
        <v>38</v>
      </c>
      <c r="C21" s="44">
        <f>E17</f>
        <v>2.56</v>
      </c>
      <c r="D21" s="42"/>
      <c r="E21" s="42"/>
      <c r="F21" s="42"/>
    </row>
    <row r="22" spans="1:6" ht="15">
      <c r="A22" s="2"/>
      <c r="B22" s="2"/>
      <c r="C22" s="2"/>
      <c r="D22" s="2"/>
      <c r="E22" s="2"/>
      <c r="F22" s="2"/>
    </row>
    <row r="23" spans="1:6" ht="33" customHeight="1">
      <c r="A23" s="138" t="s">
        <v>39</v>
      </c>
      <c r="B23" s="138"/>
      <c r="C23" s="138"/>
      <c r="D23" s="138"/>
      <c r="E23" s="138"/>
      <c r="F23" s="138"/>
    </row>
    <row r="24" spans="1:6" ht="15">
      <c r="A24" s="1"/>
      <c r="B24" s="1"/>
      <c r="C24" s="1"/>
      <c r="D24" s="2"/>
      <c r="E24" s="2"/>
      <c r="F24" s="2"/>
    </row>
    <row r="25" spans="1:6" ht="71.25">
      <c r="A25" s="8"/>
      <c r="B25" s="9" t="s">
        <v>4</v>
      </c>
      <c r="C25" s="9" t="s">
        <v>5</v>
      </c>
      <c r="D25" s="9" t="s">
        <v>6</v>
      </c>
      <c r="E25" s="9" t="s">
        <v>7</v>
      </c>
      <c r="F25" s="2"/>
    </row>
    <row r="26" spans="1:5" ht="31.5" customHeight="1">
      <c r="A26" s="139" t="s">
        <v>40</v>
      </c>
      <c r="B26" s="139"/>
      <c r="C26" s="139"/>
      <c r="D26" s="12">
        <f>D27</f>
        <v>9.84</v>
      </c>
      <c r="E26" s="12">
        <f>E27</f>
        <v>0.01</v>
      </c>
    </row>
    <row r="27" spans="1:5" ht="30">
      <c r="A27" s="15">
        <v>1</v>
      </c>
      <c r="B27" s="45" t="s">
        <v>41</v>
      </c>
      <c r="C27" s="45" t="s">
        <v>42</v>
      </c>
      <c r="D27" s="17">
        <f>E27*12*$D$2</f>
        <v>9.84</v>
      </c>
      <c r="E27" s="46">
        <v>0.01</v>
      </c>
    </row>
    <row r="28" spans="1:5" ht="32.25" customHeight="1">
      <c r="A28" s="139" t="s">
        <v>43</v>
      </c>
      <c r="B28" s="139"/>
      <c r="C28" s="139"/>
      <c r="D28" s="12">
        <f>D29+D30</f>
        <v>78.72</v>
      </c>
      <c r="E28" s="12">
        <f>E29+E30</f>
        <v>0.08</v>
      </c>
    </row>
    <row r="29" spans="1:5" ht="42.75" customHeight="1">
      <c r="A29" s="15">
        <v>2</v>
      </c>
      <c r="B29" s="45" t="s">
        <v>44</v>
      </c>
      <c r="C29" s="45" t="s">
        <v>45</v>
      </c>
      <c r="D29" s="17">
        <f>E29*$D$2*12</f>
        <v>19.68</v>
      </c>
      <c r="E29" s="46">
        <v>0.02</v>
      </c>
    </row>
    <row r="30" spans="1:5" ht="15">
      <c r="A30" s="15">
        <v>3</v>
      </c>
      <c r="B30" s="47" t="s">
        <v>46</v>
      </c>
      <c r="C30" s="8" t="s">
        <v>42</v>
      </c>
      <c r="D30" s="17">
        <f>E30*$D$2*12</f>
        <v>59.04</v>
      </c>
      <c r="E30" s="18">
        <v>0.06</v>
      </c>
    </row>
    <row r="31" spans="1:6" ht="15">
      <c r="A31" s="9"/>
      <c r="B31" s="27" t="s">
        <v>27</v>
      </c>
      <c r="C31" s="27"/>
      <c r="D31" s="48">
        <f>D26+D28</f>
        <v>88.56</v>
      </c>
      <c r="E31" s="12">
        <f>E26+E28</f>
        <v>0.09</v>
      </c>
      <c r="F31" s="6"/>
    </row>
    <row r="32" spans="1:6" ht="15">
      <c r="A32" s="2"/>
      <c r="B32" s="2"/>
      <c r="C32" s="2"/>
      <c r="D32" s="2"/>
      <c r="E32" s="2"/>
      <c r="F32" s="2"/>
    </row>
    <row r="34" spans="1:6" ht="15">
      <c r="A34" s="2"/>
      <c r="B34" s="1" t="s">
        <v>99</v>
      </c>
      <c r="C34" s="4"/>
      <c r="D34" s="5">
        <v>76.9</v>
      </c>
      <c r="E34" s="6" t="s">
        <v>2</v>
      </c>
      <c r="F34" s="2"/>
    </row>
    <row r="35" spans="1:6" ht="15">
      <c r="A35" s="2"/>
      <c r="B35" s="7"/>
      <c r="C35" s="2"/>
      <c r="D35" s="2"/>
      <c r="E35" s="2"/>
      <c r="F35" s="2"/>
    </row>
    <row r="36" spans="1:6" ht="32.25" customHeight="1">
      <c r="A36" s="138" t="s">
        <v>3</v>
      </c>
      <c r="B36" s="138"/>
      <c r="C36" s="138"/>
      <c r="D36" s="138"/>
      <c r="E36" s="138"/>
      <c r="F36" s="2"/>
    </row>
    <row r="37" spans="1:6" ht="15">
      <c r="A37" s="1"/>
      <c r="B37" s="1"/>
      <c r="C37" s="1"/>
      <c r="D37" s="1"/>
      <c r="E37" s="1"/>
      <c r="F37" s="2"/>
    </row>
    <row r="38" spans="1:6" ht="71.25">
      <c r="A38" s="8"/>
      <c r="B38" s="9" t="s">
        <v>4</v>
      </c>
      <c r="C38" s="9" t="s">
        <v>5</v>
      </c>
      <c r="D38" s="9" t="s">
        <v>6</v>
      </c>
      <c r="E38" s="9" t="s">
        <v>7</v>
      </c>
      <c r="F38" s="2"/>
    </row>
    <row r="39" spans="1:7" ht="15">
      <c r="A39" s="140" t="s">
        <v>61</v>
      </c>
      <c r="B39" s="141"/>
      <c r="C39" s="142"/>
      <c r="D39" s="12">
        <f>SUM(D40:D41)</f>
        <v>1628.3120505445454</v>
      </c>
      <c r="E39" s="12">
        <f>SUM(E40:E41)</f>
        <v>1.7645340816477515</v>
      </c>
      <c r="F39" s="19"/>
      <c r="G39" s="14"/>
    </row>
    <row r="40" spans="1:7" ht="15">
      <c r="A40" s="15">
        <v>1</v>
      </c>
      <c r="B40" s="8" t="s">
        <v>12</v>
      </c>
      <c r="C40" s="16" t="s">
        <v>13</v>
      </c>
      <c r="D40" s="17">
        <f>E40*$D$34*12</f>
        <v>1489.7639986683853</v>
      </c>
      <c r="E40" s="20">
        <v>1.614395317152563</v>
      </c>
      <c r="F40" s="21"/>
      <c r="G40" s="14"/>
    </row>
    <row r="41" spans="1:7" ht="30">
      <c r="A41" s="15">
        <v>2</v>
      </c>
      <c r="B41" s="22" t="s">
        <v>14</v>
      </c>
      <c r="C41" s="22" t="s">
        <v>15</v>
      </c>
      <c r="D41" s="17">
        <f>E41*$D$34*12</f>
        <v>138.54805187616014</v>
      </c>
      <c r="E41" s="17">
        <v>0.1501387644951887</v>
      </c>
      <c r="F41" s="21"/>
      <c r="G41" s="14"/>
    </row>
    <row r="42" spans="1:7" ht="15">
      <c r="A42" s="140" t="s">
        <v>64</v>
      </c>
      <c r="B42" s="143"/>
      <c r="C42" s="144"/>
      <c r="D42" s="23">
        <f>SUM(D43:D44)</f>
        <v>85.67563517824209</v>
      </c>
      <c r="E42" s="23">
        <f>SUM(E43:E44)</f>
        <v>0.0928431243804097</v>
      </c>
      <c r="F42" s="21"/>
      <c r="G42" s="14"/>
    </row>
    <row r="43" spans="1:7" ht="18.75" customHeight="1">
      <c r="A43" s="58">
        <v>3</v>
      </c>
      <c r="B43" s="22" t="s">
        <v>17</v>
      </c>
      <c r="C43" s="22" t="s">
        <v>18</v>
      </c>
      <c r="D43" s="17">
        <f>E43*$D$34*12</f>
        <v>47.19022995124921</v>
      </c>
      <c r="E43" s="20">
        <v>0.05113809054101561</v>
      </c>
      <c r="F43" s="21"/>
      <c r="G43" s="14"/>
    </row>
    <row r="44" spans="1:7" ht="60">
      <c r="A44" s="15">
        <v>4</v>
      </c>
      <c r="B44" s="22" t="s">
        <v>19</v>
      </c>
      <c r="C44" s="22" t="s">
        <v>18</v>
      </c>
      <c r="D44" s="17">
        <f>E44*$D$34*12</f>
        <v>38.48540522699288</v>
      </c>
      <c r="E44" s="17">
        <v>0.0417050338393941</v>
      </c>
      <c r="F44" s="2"/>
      <c r="G44" s="14"/>
    </row>
    <row r="45" spans="1:7" ht="15">
      <c r="A45" s="145" t="s">
        <v>67</v>
      </c>
      <c r="B45" s="146"/>
      <c r="C45" s="146"/>
      <c r="D45" s="24">
        <f>SUM(D46:D47)</f>
        <v>281.59660737799373</v>
      </c>
      <c r="E45" s="24">
        <f>SUM(E46:E47)</f>
        <v>0.30515453768746614</v>
      </c>
      <c r="F45" s="2"/>
      <c r="G45" s="14"/>
    </row>
    <row r="46" spans="1:7" ht="61.5" customHeight="1">
      <c r="A46" s="15">
        <v>5</v>
      </c>
      <c r="B46" s="22" t="s">
        <v>98</v>
      </c>
      <c r="C46" s="22" t="s">
        <v>18</v>
      </c>
      <c r="D46" s="17">
        <f>E46*$D$34*12</f>
        <v>13.17696315459757</v>
      </c>
      <c r="E46" s="17">
        <v>0.014279327215645394</v>
      </c>
      <c r="F46" s="2"/>
      <c r="G46" s="14"/>
    </row>
    <row r="47" spans="1:7" ht="90">
      <c r="A47" s="15">
        <v>6</v>
      </c>
      <c r="B47" s="22" t="s">
        <v>22</v>
      </c>
      <c r="C47" s="22" t="s">
        <v>79</v>
      </c>
      <c r="D47" s="17">
        <f>E47*$D$34*12</f>
        <v>268.4196442233962</v>
      </c>
      <c r="E47" s="20">
        <v>0.29087521047182074</v>
      </c>
      <c r="F47" s="2"/>
      <c r="G47" s="14"/>
    </row>
    <row r="48" spans="1:7" ht="15">
      <c r="A48" s="145" t="s">
        <v>70</v>
      </c>
      <c r="B48" s="145"/>
      <c r="C48" s="145"/>
      <c r="D48" s="25">
        <f>SUM(D49)</f>
        <v>190.39838283010346</v>
      </c>
      <c r="E48" s="25">
        <f>SUM(E49)</f>
        <v>0.206326812776445</v>
      </c>
      <c r="F48" s="2"/>
      <c r="G48" s="14"/>
    </row>
    <row r="49" spans="1:7" ht="15">
      <c r="A49" s="15">
        <v>7</v>
      </c>
      <c r="B49" s="22" t="s">
        <v>25</v>
      </c>
      <c r="C49" s="22" t="s">
        <v>26</v>
      </c>
      <c r="D49" s="17">
        <f>E49*$D$34*12</f>
        <v>190.39838283010346</v>
      </c>
      <c r="E49" s="26">
        <f>0.206326812776445</f>
        <v>0.206326812776445</v>
      </c>
      <c r="F49" s="2"/>
      <c r="G49" s="14"/>
    </row>
    <row r="50" spans="1:7" ht="15">
      <c r="A50" s="9"/>
      <c r="B50" s="27" t="s">
        <v>27</v>
      </c>
      <c r="C50" s="27"/>
      <c r="D50" s="48">
        <f>D39+D42+D45+D48+1</f>
        <v>2186.982675930885</v>
      </c>
      <c r="E50" s="12">
        <v>2.37</v>
      </c>
      <c r="F50" s="6"/>
      <c r="G50" s="14"/>
    </row>
    <row r="51" spans="1:6" ht="15">
      <c r="A51" s="29"/>
      <c r="B51" s="30"/>
      <c r="C51" s="31"/>
      <c r="D51" s="32"/>
      <c r="E51" s="33"/>
      <c r="F51" s="2"/>
    </row>
    <row r="52" spans="1:6" ht="15">
      <c r="A52" s="29"/>
      <c r="B52" s="30"/>
      <c r="C52" s="42"/>
      <c r="D52" s="42"/>
      <c r="E52" s="42"/>
      <c r="F52" s="42"/>
    </row>
    <row r="53" spans="1:6" ht="15">
      <c r="A53" s="29"/>
      <c r="B53" s="30"/>
      <c r="C53" s="42"/>
      <c r="D53" s="42"/>
      <c r="E53" s="42"/>
      <c r="F53" s="42"/>
    </row>
    <row r="54" spans="1:6" ht="29.25">
      <c r="A54" s="29"/>
      <c r="B54" s="30" t="s">
        <v>37</v>
      </c>
      <c r="C54" s="43">
        <f>D50</f>
        <v>2186.982675930885</v>
      </c>
      <c r="D54" s="43"/>
      <c r="E54" s="43"/>
      <c r="F54" s="42"/>
    </row>
    <row r="55" spans="1:6" ht="15">
      <c r="A55" s="29"/>
      <c r="B55" s="30" t="s">
        <v>38</v>
      </c>
      <c r="C55" s="44">
        <f>E50</f>
        <v>2.37</v>
      </c>
      <c r="D55" s="42"/>
      <c r="E55" s="42"/>
      <c r="F55" s="42"/>
    </row>
    <row r="56" spans="1:6" ht="73.5" customHeight="1">
      <c r="A56" s="2"/>
      <c r="B56" s="2"/>
      <c r="C56" s="2"/>
      <c r="D56" s="2"/>
      <c r="E56" s="2"/>
      <c r="F56" s="2"/>
    </row>
    <row r="57" spans="1:6" ht="39.75" customHeight="1">
      <c r="A57" s="138" t="s">
        <v>39</v>
      </c>
      <c r="B57" s="138"/>
      <c r="C57" s="138"/>
      <c r="D57" s="138"/>
      <c r="E57" s="138"/>
      <c r="F57" s="138"/>
    </row>
    <row r="58" spans="1:6" ht="15">
      <c r="A58" s="1"/>
      <c r="B58" s="1"/>
      <c r="C58" s="1"/>
      <c r="D58" s="2"/>
      <c r="E58" s="2"/>
      <c r="F58" s="2"/>
    </row>
    <row r="59" spans="1:6" ht="71.25">
      <c r="A59" s="8"/>
      <c r="B59" s="9" t="s">
        <v>4</v>
      </c>
      <c r="C59" s="9" t="s">
        <v>5</v>
      </c>
      <c r="D59" s="9" t="s">
        <v>6</v>
      </c>
      <c r="E59" s="9" t="s">
        <v>7</v>
      </c>
      <c r="F59" s="2"/>
    </row>
    <row r="60" spans="1:5" ht="15">
      <c r="A60" s="139" t="s">
        <v>40</v>
      </c>
      <c r="B60" s="139"/>
      <c r="C60" s="139"/>
      <c r="D60" s="12">
        <f>D61</f>
        <v>9.84</v>
      </c>
      <c r="E60" s="12">
        <f>E61</f>
        <v>0.01</v>
      </c>
    </row>
    <row r="61" spans="1:5" ht="30">
      <c r="A61" s="15">
        <v>1</v>
      </c>
      <c r="B61" s="45" t="s">
        <v>41</v>
      </c>
      <c r="C61" s="45" t="s">
        <v>42</v>
      </c>
      <c r="D61" s="17">
        <f>E61*12*$D$2</f>
        <v>9.84</v>
      </c>
      <c r="E61" s="46">
        <v>0.01</v>
      </c>
    </row>
    <row r="62" spans="1:5" ht="15">
      <c r="A62" s="139" t="s">
        <v>43</v>
      </c>
      <c r="B62" s="139"/>
      <c r="C62" s="139"/>
      <c r="D62" s="12">
        <f>D63+D64</f>
        <v>78.72</v>
      </c>
      <c r="E62" s="12">
        <f>E63+E64</f>
        <v>0.08</v>
      </c>
    </row>
    <row r="63" spans="1:5" ht="45">
      <c r="A63" s="15">
        <v>2</v>
      </c>
      <c r="B63" s="45" t="s">
        <v>44</v>
      </c>
      <c r="C63" s="45" t="s">
        <v>45</v>
      </c>
      <c r="D63" s="17">
        <f>E63*$D$2*12</f>
        <v>19.68</v>
      </c>
      <c r="E63" s="46">
        <v>0.02</v>
      </c>
    </row>
    <row r="64" spans="1:5" ht="15">
      <c r="A64" s="15">
        <v>3</v>
      </c>
      <c r="B64" s="47" t="s">
        <v>46</v>
      </c>
      <c r="C64" s="8" t="s">
        <v>42</v>
      </c>
      <c r="D64" s="17">
        <f>E64*$D$2*12</f>
        <v>59.04</v>
      </c>
      <c r="E64" s="18">
        <v>0.06</v>
      </c>
    </row>
    <row r="65" spans="1:6" ht="15">
      <c r="A65" s="9"/>
      <c r="B65" s="27" t="s">
        <v>27</v>
      </c>
      <c r="C65" s="27"/>
      <c r="D65" s="48">
        <f>D60+D62</f>
        <v>88.56</v>
      </c>
      <c r="E65" s="12">
        <f>E60+E62</f>
        <v>0.09</v>
      </c>
      <c r="F65" s="6"/>
    </row>
    <row r="66" spans="1:6" ht="15">
      <c r="A66" s="2"/>
      <c r="B66" s="2"/>
      <c r="C66" s="2"/>
      <c r="D66" s="2"/>
      <c r="E66" s="2"/>
      <c r="F66" s="2"/>
    </row>
    <row r="68" ht="38.25" customHeight="1"/>
    <row r="69" spans="1:6" ht="15">
      <c r="A69" s="2"/>
      <c r="B69" s="1" t="s">
        <v>100</v>
      </c>
      <c r="C69" s="4"/>
      <c r="D69" s="5">
        <v>109.2</v>
      </c>
      <c r="E69" s="6" t="s">
        <v>2</v>
      </c>
      <c r="F69" s="2"/>
    </row>
    <row r="70" spans="1:6" ht="15">
      <c r="A70" s="2"/>
      <c r="B70" s="7"/>
      <c r="C70" s="2"/>
      <c r="D70" s="2"/>
      <c r="E70" s="2"/>
      <c r="F70" s="2"/>
    </row>
    <row r="71" spans="1:6" ht="37.5" customHeight="1">
      <c r="A71" s="138" t="s">
        <v>3</v>
      </c>
      <c r="B71" s="138"/>
      <c r="C71" s="138"/>
      <c r="D71" s="138"/>
      <c r="E71" s="138"/>
      <c r="F71" s="2"/>
    </row>
    <row r="72" spans="1:6" ht="15">
      <c r="A72" s="1"/>
      <c r="B72" s="1"/>
      <c r="C72" s="1"/>
      <c r="D72" s="1"/>
      <c r="E72" s="1"/>
      <c r="F72" s="2"/>
    </row>
    <row r="73" spans="1:6" ht="71.25">
      <c r="A73" s="8"/>
      <c r="B73" s="9" t="s">
        <v>4</v>
      </c>
      <c r="C73" s="9" t="s">
        <v>5</v>
      </c>
      <c r="D73" s="9" t="s">
        <v>6</v>
      </c>
      <c r="E73" s="9" t="s">
        <v>7</v>
      </c>
      <c r="F73" s="2"/>
    </row>
    <row r="74" spans="1:7" ht="15">
      <c r="A74" s="140" t="s">
        <v>61</v>
      </c>
      <c r="B74" s="141"/>
      <c r="C74" s="142"/>
      <c r="D74" s="12">
        <f>SUM(D75:D76)</f>
        <v>1184.2269458505787</v>
      </c>
      <c r="E74" s="12">
        <f>SUM(E75:E76)</f>
        <v>0.9037140917663145</v>
      </c>
      <c r="F74" s="19"/>
      <c r="G74" s="14"/>
    </row>
    <row r="75" spans="1:7" ht="15">
      <c r="A75" s="15">
        <v>1</v>
      </c>
      <c r="B75" s="8" t="s">
        <v>12</v>
      </c>
      <c r="C75" s="16" t="s">
        <v>13</v>
      </c>
      <c r="D75" s="17">
        <f>E75*12*$D$69</f>
        <v>1083.4647263042805</v>
      </c>
      <c r="E75" s="20">
        <v>0.8268198460808001</v>
      </c>
      <c r="F75" s="21"/>
      <c r="G75" s="14"/>
    </row>
    <row r="76" spans="1:7" ht="30">
      <c r="A76" s="15">
        <v>2</v>
      </c>
      <c r="B76" s="22" t="s">
        <v>14</v>
      </c>
      <c r="C76" s="22" t="s">
        <v>15</v>
      </c>
      <c r="D76" s="17">
        <f>E76*12*$D$69</f>
        <v>100.76221954629808</v>
      </c>
      <c r="E76" s="17">
        <v>0.07689424568551441</v>
      </c>
      <c r="F76" s="21"/>
      <c r="G76" s="14"/>
    </row>
    <row r="77" spans="1:7" ht="15">
      <c r="A77" s="140" t="s">
        <v>64</v>
      </c>
      <c r="B77" s="143"/>
      <c r="C77" s="144"/>
      <c r="D77" s="23">
        <f>SUM(D78:D79)</f>
        <v>85.6756351782421</v>
      </c>
      <c r="E77" s="23">
        <f>SUM(E78:E79)</f>
        <v>0.06538128447668048</v>
      </c>
      <c r="F77" s="21"/>
      <c r="G77" s="14"/>
    </row>
    <row r="78" spans="1:7" ht="30">
      <c r="A78" s="58">
        <v>3</v>
      </c>
      <c r="B78" s="22" t="s">
        <v>17</v>
      </c>
      <c r="C78" s="22" t="s">
        <v>18</v>
      </c>
      <c r="D78" s="17">
        <f>E78*12*$D$69</f>
        <v>47.19022995124921</v>
      </c>
      <c r="E78" s="20">
        <v>0.036012080243627294</v>
      </c>
      <c r="F78" s="21"/>
      <c r="G78" s="14"/>
    </row>
    <row r="79" spans="1:7" ht="60">
      <c r="A79" s="15">
        <v>4</v>
      </c>
      <c r="B79" s="22" t="s">
        <v>19</v>
      </c>
      <c r="C79" s="22" t="s">
        <v>18</v>
      </c>
      <c r="D79" s="17">
        <f>E79*12*$D$69</f>
        <v>38.485405226992896</v>
      </c>
      <c r="E79" s="17">
        <v>0.02936920423305319</v>
      </c>
      <c r="F79" s="2"/>
      <c r="G79" s="14"/>
    </row>
    <row r="80" spans="1:7" ht="15">
      <c r="A80" s="145" t="s">
        <v>67</v>
      </c>
      <c r="B80" s="146"/>
      <c r="C80" s="146"/>
      <c r="D80" s="24">
        <f>SUM(D81:D82)</f>
        <v>329.57196251884943</v>
      </c>
      <c r="E80" s="24">
        <f>SUM(E81:E82)</f>
        <v>0.25150485540205236</v>
      </c>
      <c r="F80" s="2"/>
      <c r="G80" s="14"/>
    </row>
    <row r="81" spans="1:7" ht="75">
      <c r="A81" s="15">
        <v>5</v>
      </c>
      <c r="B81" s="22" t="s">
        <v>98</v>
      </c>
      <c r="C81" s="22" t="s">
        <v>18</v>
      </c>
      <c r="D81" s="17">
        <f>E81*12*$D$69</f>
        <v>13.176963154597564</v>
      </c>
      <c r="E81" s="17">
        <v>0.010055680063032328</v>
      </c>
      <c r="F81" s="2"/>
      <c r="G81" s="14"/>
    </row>
    <row r="82" spans="1:7" ht="90">
      <c r="A82" s="15">
        <v>6</v>
      </c>
      <c r="B82" s="22" t="s">
        <v>22</v>
      </c>
      <c r="C82" s="22" t="s">
        <v>79</v>
      </c>
      <c r="D82" s="17">
        <f>E82*12*$D$69</f>
        <v>316.3949993642519</v>
      </c>
      <c r="E82" s="20">
        <v>0.24144917533902002</v>
      </c>
      <c r="F82" s="2"/>
      <c r="G82" s="14"/>
    </row>
    <row r="83" spans="1:7" ht="15">
      <c r="A83" s="145" t="s">
        <v>70</v>
      </c>
      <c r="B83" s="145"/>
      <c r="C83" s="145"/>
      <c r="D83" s="25">
        <f>SUM(D84)</f>
        <v>185.23580606221807</v>
      </c>
      <c r="E83" s="25">
        <f>SUM(E84)</f>
        <v>0.14135821585944602</v>
      </c>
      <c r="F83" s="2"/>
      <c r="G83" s="14"/>
    </row>
    <row r="84" spans="1:7" ht="15">
      <c r="A84" s="15">
        <v>7</v>
      </c>
      <c r="B84" s="22" t="s">
        <v>25</v>
      </c>
      <c r="C84" s="22" t="s">
        <v>26</v>
      </c>
      <c r="D84" s="17">
        <f>E84*12*$D$69</f>
        <v>185.23580606221807</v>
      </c>
      <c r="E84" s="26">
        <f>0.140598215859446+0.00076</f>
        <v>0.14135821585944602</v>
      </c>
      <c r="F84" s="2"/>
      <c r="G84" s="14"/>
    </row>
    <row r="85" spans="1:7" ht="15">
      <c r="A85" s="9"/>
      <c r="B85" s="27" t="s">
        <v>27</v>
      </c>
      <c r="C85" s="27"/>
      <c r="D85" s="48">
        <f>D74+D77+D80+D83</f>
        <v>1784.7103496098882</v>
      </c>
      <c r="E85" s="12">
        <v>1.36</v>
      </c>
      <c r="F85" s="6"/>
      <c r="G85" s="14"/>
    </row>
    <row r="86" spans="1:6" ht="15">
      <c r="A86" s="29"/>
      <c r="B86" s="30"/>
      <c r="C86" s="31"/>
      <c r="D86" s="32"/>
      <c r="E86" s="33"/>
      <c r="F86" s="2"/>
    </row>
    <row r="87" spans="1:6" ht="15">
      <c r="A87" s="29"/>
      <c r="B87" s="30"/>
      <c r="C87" s="42"/>
      <c r="D87" s="42"/>
      <c r="E87" s="42"/>
      <c r="F87" s="42"/>
    </row>
    <row r="88" spans="1:6" ht="29.25">
      <c r="A88" s="29"/>
      <c r="B88" s="30" t="s">
        <v>37</v>
      </c>
      <c r="C88" s="43">
        <f>D85</f>
        <v>1784.7103496098882</v>
      </c>
      <c r="D88" s="43"/>
      <c r="E88" s="43"/>
      <c r="F88" s="42"/>
    </row>
    <row r="89" spans="1:6" ht="15">
      <c r="A89" s="29"/>
      <c r="B89" s="30" t="s">
        <v>38</v>
      </c>
      <c r="C89" s="44">
        <f>E85</f>
        <v>1.36</v>
      </c>
      <c r="D89" s="42"/>
      <c r="E89" s="42"/>
      <c r="F89" s="42"/>
    </row>
    <row r="90" spans="1:6" ht="15">
      <c r="A90" s="2"/>
      <c r="B90" s="2"/>
      <c r="C90" s="2"/>
      <c r="D90" s="2"/>
      <c r="E90" s="2"/>
      <c r="F90" s="2"/>
    </row>
    <row r="91" spans="1:6" ht="38.25" customHeight="1">
      <c r="A91" s="138" t="s">
        <v>39</v>
      </c>
      <c r="B91" s="138"/>
      <c r="C91" s="138"/>
      <c r="D91" s="138"/>
      <c r="E91" s="138"/>
      <c r="F91" s="138"/>
    </row>
    <row r="92" spans="1:6" ht="15">
      <c r="A92" s="1"/>
      <c r="B92" s="1"/>
      <c r="C92" s="1"/>
      <c r="D92" s="2"/>
      <c r="E92" s="2"/>
      <c r="F92" s="2"/>
    </row>
    <row r="93" spans="1:6" ht="71.25">
      <c r="A93" s="8"/>
      <c r="B93" s="9" t="s">
        <v>4</v>
      </c>
      <c r="C93" s="9" t="s">
        <v>5</v>
      </c>
      <c r="D93" s="9" t="s">
        <v>6</v>
      </c>
      <c r="E93" s="9" t="s">
        <v>7</v>
      </c>
      <c r="F93" s="2"/>
    </row>
    <row r="94" spans="1:5" ht="15">
      <c r="A94" s="139" t="s">
        <v>40</v>
      </c>
      <c r="B94" s="139"/>
      <c r="C94" s="139"/>
      <c r="D94" s="12">
        <f>D95</f>
        <v>9.84</v>
      </c>
      <c r="E94" s="12">
        <f>E95</f>
        <v>0.01</v>
      </c>
    </row>
    <row r="95" spans="1:5" ht="30">
      <c r="A95" s="15">
        <v>1</v>
      </c>
      <c r="B95" s="45" t="s">
        <v>41</v>
      </c>
      <c r="C95" s="45" t="s">
        <v>42</v>
      </c>
      <c r="D95" s="17">
        <f>E95*12*$D$2</f>
        <v>9.84</v>
      </c>
      <c r="E95" s="46">
        <v>0.01</v>
      </c>
    </row>
    <row r="96" spans="1:5" ht="15">
      <c r="A96" s="139" t="s">
        <v>43</v>
      </c>
      <c r="B96" s="139"/>
      <c r="C96" s="139"/>
      <c r="D96" s="12">
        <f>D97+D98</f>
        <v>78.72</v>
      </c>
      <c r="E96" s="12">
        <f>E97+E98</f>
        <v>0.08</v>
      </c>
    </row>
    <row r="97" spans="1:5" ht="45">
      <c r="A97" s="15">
        <v>2</v>
      </c>
      <c r="B97" s="45" t="s">
        <v>44</v>
      </c>
      <c r="C97" s="45" t="s">
        <v>45</v>
      </c>
      <c r="D97" s="17">
        <f>E97*$D$2*12</f>
        <v>19.68</v>
      </c>
      <c r="E97" s="46">
        <v>0.02</v>
      </c>
    </row>
    <row r="98" spans="1:5" ht="15">
      <c r="A98" s="15">
        <v>3</v>
      </c>
      <c r="B98" s="47" t="s">
        <v>46</v>
      </c>
      <c r="C98" s="8" t="s">
        <v>42</v>
      </c>
      <c r="D98" s="17">
        <f>E98*$D$2*12</f>
        <v>59.04</v>
      </c>
      <c r="E98" s="18">
        <v>0.06</v>
      </c>
    </row>
    <row r="99" spans="1:6" ht="15">
      <c r="A99" s="9"/>
      <c r="B99" s="27" t="s">
        <v>27</v>
      </c>
      <c r="C99" s="27"/>
      <c r="D99" s="48">
        <f>D94+D96</f>
        <v>88.56</v>
      </c>
      <c r="E99" s="12">
        <f>E94+E96</f>
        <v>0.09</v>
      </c>
      <c r="F99" s="6"/>
    </row>
    <row r="100" spans="1:6" ht="15">
      <c r="A100" s="2"/>
      <c r="B100" s="2"/>
      <c r="C100" s="2"/>
      <c r="D100" s="2"/>
      <c r="E100" s="2"/>
      <c r="F100" s="2"/>
    </row>
    <row r="102" spans="1:6" ht="15">
      <c r="A102" s="2"/>
      <c r="B102" s="1" t="s">
        <v>101</v>
      </c>
      <c r="C102" s="4"/>
      <c r="D102" s="5">
        <v>89</v>
      </c>
      <c r="E102" s="6" t="s">
        <v>2</v>
      </c>
      <c r="F102" s="2"/>
    </row>
    <row r="103" spans="1:6" ht="15">
      <c r="A103" s="2"/>
      <c r="B103" s="7"/>
      <c r="C103" s="2"/>
      <c r="D103" s="2"/>
      <c r="E103" s="2"/>
      <c r="F103" s="2"/>
    </row>
    <row r="104" spans="1:6" ht="32.25" customHeight="1">
      <c r="A104" s="138" t="s">
        <v>3</v>
      </c>
      <c r="B104" s="138"/>
      <c r="C104" s="138"/>
      <c r="D104" s="138"/>
      <c r="E104" s="138"/>
      <c r="F104" s="2"/>
    </row>
    <row r="105" spans="1:6" ht="15">
      <c r="A105" s="1"/>
      <c r="B105" s="1"/>
      <c r="C105" s="1"/>
      <c r="D105" s="1"/>
      <c r="E105" s="1"/>
      <c r="F105" s="2"/>
    </row>
    <row r="106" spans="1:6" ht="71.25">
      <c r="A106" s="8"/>
      <c r="B106" s="9" t="s">
        <v>4</v>
      </c>
      <c r="C106" s="9" t="s">
        <v>5</v>
      </c>
      <c r="D106" s="9" t="s">
        <v>6</v>
      </c>
      <c r="E106" s="9" t="s">
        <v>7</v>
      </c>
      <c r="F106" s="2"/>
    </row>
    <row r="107" spans="1:7" ht="15">
      <c r="A107" s="140" t="s">
        <v>61</v>
      </c>
      <c r="B107" s="141"/>
      <c r="C107" s="142"/>
      <c r="D107" s="12">
        <f>SUM(D108:D109)</f>
        <v>444.0851046939671</v>
      </c>
      <c r="E107" s="12">
        <f>SUM(E108:E109)</f>
        <v>0.415810023121692</v>
      </c>
      <c r="F107" s="19"/>
      <c r="G107" s="14"/>
    </row>
    <row r="108" spans="1:7" ht="15">
      <c r="A108" s="15">
        <v>1</v>
      </c>
      <c r="B108" s="8" t="s">
        <v>12</v>
      </c>
      <c r="C108" s="16" t="s">
        <v>13</v>
      </c>
      <c r="D108" s="17">
        <f>E108*12*$D$102</f>
        <v>406.29927236410526</v>
      </c>
      <c r="E108" s="20">
        <v>0.38043003030346934</v>
      </c>
      <c r="F108" s="21"/>
      <c r="G108" s="14"/>
    </row>
    <row r="109" spans="1:7" ht="30">
      <c r="A109" s="15">
        <v>2</v>
      </c>
      <c r="B109" s="22" t="s">
        <v>14</v>
      </c>
      <c r="C109" s="22" t="s">
        <v>15</v>
      </c>
      <c r="D109" s="17">
        <f>E109*12*$D$102</f>
        <v>37.78583232986184</v>
      </c>
      <c r="E109" s="17">
        <v>0.0353799928182227</v>
      </c>
      <c r="F109" s="21"/>
      <c r="G109" s="14"/>
    </row>
    <row r="110" spans="1:7" ht="15">
      <c r="A110" s="140" t="s">
        <v>64</v>
      </c>
      <c r="B110" s="143"/>
      <c r="C110" s="144"/>
      <c r="D110" s="23">
        <f>SUM(D111:D112)</f>
        <v>85.67563517824209</v>
      </c>
      <c r="E110" s="23">
        <f>SUM(E111:E112)</f>
        <v>0.08022063218936526</v>
      </c>
      <c r="F110" s="21"/>
      <c r="G110" s="14"/>
    </row>
    <row r="111" spans="1:7" ht="30">
      <c r="A111" s="58">
        <v>3</v>
      </c>
      <c r="B111" s="22" t="s">
        <v>17</v>
      </c>
      <c r="C111" s="22" t="s">
        <v>18</v>
      </c>
      <c r="D111" s="17">
        <f>E111*12*$D$102</f>
        <v>47.19022995124925</v>
      </c>
      <c r="E111" s="20">
        <v>0.044185608568585444</v>
      </c>
      <c r="F111" s="21"/>
      <c r="G111" s="14"/>
    </row>
    <row r="112" spans="1:7" ht="60">
      <c r="A112" s="15">
        <v>4</v>
      </c>
      <c r="B112" s="22" t="s">
        <v>19</v>
      </c>
      <c r="C112" s="22" t="s">
        <v>18</v>
      </c>
      <c r="D112" s="17">
        <f>E112*12*$D$102</f>
        <v>38.485405226992846</v>
      </c>
      <c r="E112" s="17">
        <v>0.036035023620779816</v>
      </c>
      <c r="F112" s="2"/>
      <c r="G112" s="14"/>
    </row>
    <row r="113" spans="1:7" ht="15">
      <c r="A113" s="145" t="s">
        <v>67</v>
      </c>
      <c r="B113" s="146"/>
      <c r="C113" s="146"/>
      <c r="D113" s="24">
        <f>SUM(D114:D115)</f>
        <v>300.56879924190577</v>
      </c>
      <c r="E113" s="24">
        <f>SUM(E114:E115)</f>
        <v>0.28049513037631624</v>
      </c>
      <c r="F113" s="2"/>
      <c r="G113" s="14"/>
    </row>
    <row r="114" spans="1:7" ht="75">
      <c r="A114" s="15">
        <v>5</v>
      </c>
      <c r="B114" s="22" t="s">
        <v>98</v>
      </c>
      <c r="C114" s="22" t="s">
        <v>18</v>
      </c>
      <c r="D114" s="17">
        <f>E114*12*$D$102</f>
        <v>13.17696315459757</v>
      </c>
      <c r="E114" s="17">
        <v>0.012337980481832931</v>
      </c>
      <c r="F114" s="2"/>
      <c r="G114" s="14"/>
    </row>
    <row r="115" spans="1:7" ht="90">
      <c r="A115" s="15">
        <v>6</v>
      </c>
      <c r="B115" s="22" t="s">
        <v>22</v>
      </c>
      <c r="C115" s="22" t="s">
        <v>79</v>
      </c>
      <c r="D115" s="17">
        <f>E115*12*$D$102+1</f>
        <v>287.3918360873082</v>
      </c>
      <c r="E115" s="20">
        <v>0.2681571498944833</v>
      </c>
      <c r="F115" s="2"/>
      <c r="G115" s="14"/>
    </row>
    <row r="116" spans="1:7" ht="15">
      <c r="A116" s="145" t="s">
        <v>70</v>
      </c>
      <c r="B116" s="145"/>
      <c r="C116" s="145"/>
      <c r="D116" s="25">
        <f>SUM(D117)</f>
        <v>172.26614175048928</v>
      </c>
      <c r="E116" s="25">
        <f>SUM(E117)</f>
        <v>0.161297885534166</v>
      </c>
      <c r="F116" s="2"/>
      <c r="G116" s="14"/>
    </row>
    <row r="117" spans="1:7" ht="15">
      <c r="A117" s="15">
        <v>7</v>
      </c>
      <c r="B117" s="22" t="s">
        <v>25</v>
      </c>
      <c r="C117" s="22" t="s">
        <v>26</v>
      </c>
      <c r="D117" s="17">
        <f>E117*12*$D$102</f>
        <v>172.26614175048928</v>
      </c>
      <c r="E117" s="26">
        <f>0.161297885534166</f>
        <v>0.161297885534166</v>
      </c>
      <c r="F117" s="2"/>
      <c r="G117" s="14"/>
    </row>
    <row r="118" spans="1:7" ht="15">
      <c r="A118" s="9"/>
      <c r="B118" s="27" t="s">
        <v>27</v>
      </c>
      <c r="C118" s="27"/>
      <c r="D118" s="48">
        <f>D107+D110+D113+D116</f>
        <v>1002.5956808646041</v>
      </c>
      <c r="E118" s="12">
        <v>0.94</v>
      </c>
      <c r="F118" s="6"/>
      <c r="G118" s="14"/>
    </row>
    <row r="119" spans="1:6" ht="15">
      <c r="A119" s="29"/>
      <c r="B119" s="30"/>
      <c r="C119" s="31"/>
      <c r="D119" s="32"/>
      <c r="E119" s="33"/>
      <c r="F119" s="2"/>
    </row>
    <row r="120" spans="1:6" ht="15">
      <c r="A120" s="29"/>
      <c r="B120" s="30"/>
      <c r="C120" s="42"/>
      <c r="D120" s="42"/>
      <c r="E120" s="42"/>
      <c r="F120" s="42"/>
    </row>
    <row r="121" spans="1:6" ht="29.25">
      <c r="A121" s="29"/>
      <c r="B121" s="30" t="s">
        <v>37</v>
      </c>
      <c r="C121" s="43">
        <f>D118</f>
        <v>1002.5956808646041</v>
      </c>
      <c r="D121" s="43"/>
      <c r="E121" s="43"/>
      <c r="F121" s="42"/>
    </row>
    <row r="122" spans="1:6" ht="15">
      <c r="A122" s="29"/>
      <c r="B122" s="30" t="s">
        <v>38</v>
      </c>
      <c r="C122" s="44">
        <f>E118</f>
        <v>0.94</v>
      </c>
      <c r="D122" s="42"/>
      <c r="E122" s="42"/>
      <c r="F122" s="42"/>
    </row>
    <row r="123" spans="1:6" ht="15">
      <c r="A123" s="2"/>
      <c r="B123" s="2"/>
      <c r="C123" s="2"/>
      <c r="D123" s="2"/>
      <c r="E123" s="2"/>
      <c r="F123" s="2"/>
    </row>
    <row r="124" spans="1:6" ht="30.75" customHeight="1">
      <c r="A124" s="138" t="s">
        <v>39</v>
      </c>
      <c r="B124" s="138"/>
      <c r="C124" s="138"/>
      <c r="D124" s="138"/>
      <c r="E124" s="138"/>
      <c r="F124" s="138"/>
    </row>
    <row r="125" spans="1:6" ht="15">
      <c r="A125" s="1"/>
      <c r="B125" s="1"/>
      <c r="C125" s="1"/>
      <c r="D125" s="2"/>
      <c r="E125" s="2"/>
      <c r="F125" s="2"/>
    </row>
    <row r="126" spans="1:6" ht="71.25">
      <c r="A126" s="8"/>
      <c r="B126" s="9" t="s">
        <v>4</v>
      </c>
      <c r="C126" s="9" t="s">
        <v>5</v>
      </c>
      <c r="D126" s="9" t="s">
        <v>6</v>
      </c>
      <c r="E126" s="9" t="s">
        <v>7</v>
      </c>
      <c r="F126" s="2"/>
    </row>
    <row r="127" spans="1:5" ht="15">
      <c r="A127" s="139" t="s">
        <v>40</v>
      </c>
      <c r="B127" s="139"/>
      <c r="C127" s="139"/>
      <c r="D127" s="12">
        <f>D128</f>
        <v>9.84</v>
      </c>
      <c r="E127" s="12">
        <f>E128</f>
        <v>0.01</v>
      </c>
    </row>
    <row r="128" spans="1:5" ht="30">
      <c r="A128" s="15">
        <v>1</v>
      </c>
      <c r="B128" s="45" t="s">
        <v>41</v>
      </c>
      <c r="C128" s="45" t="s">
        <v>42</v>
      </c>
      <c r="D128" s="17">
        <f>E128*12*$D$2</f>
        <v>9.84</v>
      </c>
      <c r="E128" s="46">
        <v>0.01</v>
      </c>
    </row>
    <row r="129" spans="1:5" ht="15">
      <c r="A129" s="139" t="s">
        <v>43</v>
      </c>
      <c r="B129" s="139"/>
      <c r="C129" s="139"/>
      <c r="D129" s="12">
        <f>D130+D131</f>
        <v>78.72</v>
      </c>
      <c r="E129" s="12">
        <f>E130+E131</f>
        <v>0.08</v>
      </c>
    </row>
    <row r="130" spans="1:5" ht="45">
      <c r="A130" s="15">
        <v>2</v>
      </c>
      <c r="B130" s="45" t="s">
        <v>44</v>
      </c>
      <c r="C130" s="45" t="s">
        <v>45</v>
      </c>
      <c r="D130" s="17">
        <f>E130*$D$2*12</f>
        <v>19.68</v>
      </c>
      <c r="E130" s="46">
        <v>0.02</v>
      </c>
    </row>
    <row r="131" spans="1:5" ht="15">
      <c r="A131" s="15">
        <v>3</v>
      </c>
      <c r="B131" s="47" t="s">
        <v>46</v>
      </c>
      <c r="C131" s="8" t="s">
        <v>42</v>
      </c>
      <c r="D131" s="17">
        <f>E131*$D$2*12</f>
        <v>59.04</v>
      </c>
      <c r="E131" s="18">
        <v>0.06</v>
      </c>
    </row>
    <row r="132" spans="1:6" ht="15">
      <c r="A132" s="9"/>
      <c r="B132" s="27" t="s">
        <v>27</v>
      </c>
      <c r="C132" s="27"/>
      <c r="D132" s="48">
        <f>D127+D129</f>
        <v>88.56</v>
      </c>
      <c r="E132" s="12">
        <f>E127+E129</f>
        <v>0.09</v>
      </c>
      <c r="F132" s="6"/>
    </row>
    <row r="135" spans="2:3" ht="29.25">
      <c r="B135" s="30" t="s">
        <v>102</v>
      </c>
      <c r="C135" s="55">
        <f>C121+C88+C54+C20</f>
        <v>7495.381287187238</v>
      </c>
    </row>
  </sheetData>
  <mergeCells count="33">
    <mergeCell ref="A116:C116"/>
    <mergeCell ref="A124:F124"/>
    <mergeCell ref="A127:C127"/>
    <mergeCell ref="A129:C129"/>
    <mergeCell ref="A104:E104"/>
    <mergeCell ref="A107:C107"/>
    <mergeCell ref="A110:C110"/>
    <mergeCell ref="A113:C113"/>
    <mergeCell ref="A83:C83"/>
    <mergeCell ref="A91:F91"/>
    <mergeCell ref="A94:C94"/>
    <mergeCell ref="A96:C96"/>
    <mergeCell ref="A71:E71"/>
    <mergeCell ref="A74:C74"/>
    <mergeCell ref="A77:C77"/>
    <mergeCell ref="A80:C80"/>
    <mergeCell ref="A48:C48"/>
    <mergeCell ref="A57:F57"/>
    <mergeCell ref="A60:C60"/>
    <mergeCell ref="A62:C62"/>
    <mergeCell ref="A36:E36"/>
    <mergeCell ref="A39:C39"/>
    <mergeCell ref="A42:C42"/>
    <mergeCell ref="A45:C45"/>
    <mergeCell ref="A28:C28"/>
    <mergeCell ref="A15:C15"/>
    <mergeCell ref="A23:F23"/>
    <mergeCell ref="A26:C26"/>
    <mergeCell ref="A7:C7"/>
    <mergeCell ref="A12:C12"/>
    <mergeCell ref="A10:C10"/>
    <mergeCell ref="A1:E1"/>
    <mergeCell ref="A4:E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G74"/>
  <sheetViews>
    <sheetView zoomScale="97" zoomScaleNormal="97" workbookViewId="0" topLeftCell="A46">
      <selection activeCell="A48" sqref="A48:IV50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38" t="s">
        <v>103</v>
      </c>
      <c r="B1" s="138"/>
      <c r="C1" s="138"/>
      <c r="D1" s="138"/>
      <c r="E1" s="138"/>
      <c r="F1" s="2"/>
    </row>
    <row r="2" spans="1:6" ht="15">
      <c r="A2" s="2"/>
      <c r="B2" s="7"/>
      <c r="C2" s="2"/>
      <c r="D2" s="2"/>
      <c r="E2" s="2"/>
      <c r="F2" s="2"/>
    </row>
    <row r="3" spans="1:6" ht="15">
      <c r="A3" s="2"/>
      <c r="B3" s="1" t="s">
        <v>104</v>
      </c>
      <c r="C3" s="4"/>
      <c r="D3" s="5">
        <v>101.5</v>
      </c>
      <c r="E3" s="6" t="s">
        <v>2</v>
      </c>
      <c r="F3" s="2"/>
    </row>
    <row r="4" spans="1:6" ht="15">
      <c r="A4" s="2"/>
      <c r="B4" s="7"/>
      <c r="C4" s="2"/>
      <c r="D4" s="2"/>
      <c r="E4" s="2"/>
      <c r="F4" s="2"/>
    </row>
    <row r="5" spans="1:6" ht="37.5" customHeight="1">
      <c r="A5" s="138" t="s">
        <v>3</v>
      </c>
      <c r="B5" s="138"/>
      <c r="C5" s="138"/>
      <c r="D5" s="138"/>
      <c r="E5" s="138"/>
      <c r="F5" s="2"/>
    </row>
    <row r="6" spans="1:6" ht="15">
      <c r="A6" s="1"/>
      <c r="B6" s="1"/>
      <c r="C6" s="1"/>
      <c r="D6" s="1"/>
      <c r="E6" s="1"/>
      <c r="F6" s="2"/>
    </row>
    <row r="7" spans="1:6" ht="71.25">
      <c r="A7" s="8"/>
      <c r="B7" s="9" t="s">
        <v>4</v>
      </c>
      <c r="C7" s="9" t="s">
        <v>5</v>
      </c>
      <c r="D7" s="9" t="s">
        <v>6</v>
      </c>
      <c r="E7" s="9" t="s">
        <v>7</v>
      </c>
      <c r="F7" s="2"/>
    </row>
    <row r="8" spans="1:7" ht="15">
      <c r="A8" s="140" t="s">
        <v>61</v>
      </c>
      <c r="B8" s="141"/>
      <c r="C8" s="142"/>
      <c r="D8" s="12">
        <f>SUM(D9:D10)</f>
        <v>296.0567364626446</v>
      </c>
      <c r="E8" s="12">
        <f>SUM(E9:E10)</f>
        <v>0.24306792813025008</v>
      </c>
      <c r="F8" s="19"/>
      <c r="G8" s="14"/>
    </row>
    <row r="9" spans="1:7" ht="15">
      <c r="A9" s="15">
        <v>1</v>
      </c>
      <c r="B9" s="8" t="s">
        <v>12</v>
      </c>
      <c r="C9" s="16" t="s">
        <v>13</v>
      </c>
      <c r="D9" s="17">
        <f>E9*$D$3*12</f>
        <v>270.86618157607006</v>
      </c>
      <c r="E9" s="20">
        <v>0.22238602756656</v>
      </c>
      <c r="F9" s="21"/>
      <c r="G9" s="14"/>
    </row>
    <row r="10" spans="1:7" ht="30">
      <c r="A10" s="15">
        <v>2</v>
      </c>
      <c r="B10" s="22" t="s">
        <v>14</v>
      </c>
      <c r="C10" s="22" t="s">
        <v>15</v>
      </c>
      <c r="D10" s="17">
        <f>E10*$D$3*12</f>
        <v>25.190554886574517</v>
      </c>
      <c r="E10" s="17">
        <v>0.02068190056369008</v>
      </c>
      <c r="F10" s="21"/>
      <c r="G10" s="14"/>
    </row>
    <row r="11" spans="1:7" ht="15">
      <c r="A11" s="140" t="s">
        <v>64</v>
      </c>
      <c r="B11" s="143"/>
      <c r="C11" s="144"/>
      <c r="D11" s="23">
        <f>SUM(D12:D14)</f>
        <v>1275.2402795252976</v>
      </c>
      <c r="E11" s="23">
        <f>SUM(E12:E14)</f>
        <v>1.046995303386944</v>
      </c>
      <c r="F11" s="21"/>
      <c r="G11" s="14"/>
    </row>
    <row r="12" spans="1:7" ht="18.75" customHeight="1">
      <c r="A12" s="58">
        <v>3</v>
      </c>
      <c r="B12" s="22" t="s">
        <v>17</v>
      </c>
      <c r="C12" s="22" t="s">
        <v>18</v>
      </c>
      <c r="D12" s="17">
        <f>E12*$D$3*12</f>
        <v>47.190229951249194</v>
      </c>
      <c r="E12" s="20">
        <v>0.038744031158661076</v>
      </c>
      <c r="F12" s="21"/>
      <c r="G12" s="14"/>
    </row>
    <row r="13" spans="1:7" ht="32.25" customHeight="1">
      <c r="A13" s="58">
        <v>4</v>
      </c>
      <c r="B13" s="22" t="s">
        <v>105</v>
      </c>
      <c r="C13" s="22" t="s">
        <v>18</v>
      </c>
      <c r="D13" s="17">
        <f>E13*$D$3*12</f>
        <v>128.30330885357853</v>
      </c>
      <c r="E13" s="20">
        <v>0.10533933403413674</v>
      </c>
      <c r="F13" s="21"/>
      <c r="G13" s="14"/>
    </row>
    <row r="14" spans="1:7" ht="90">
      <c r="A14" s="15">
        <v>5</v>
      </c>
      <c r="B14" s="22" t="s">
        <v>106</v>
      </c>
      <c r="C14" s="22" t="s">
        <v>18</v>
      </c>
      <c r="D14" s="17">
        <f>E14*$D$3*12</f>
        <v>1099.74674072047</v>
      </c>
      <c r="E14" s="17">
        <v>0.9029119381941462</v>
      </c>
      <c r="F14" s="2"/>
      <c r="G14" s="14"/>
    </row>
    <row r="15" spans="1:7" ht="15">
      <c r="A15" s="145" t="s">
        <v>67</v>
      </c>
      <c r="B15" s="146"/>
      <c r="C15" s="146"/>
      <c r="D15" s="24">
        <f>SUM(D16:D17)</f>
        <v>1928.6394869697165</v>
      </c>
      <c r="E15" s="24">
        <f>SUM(E16:E17)</f>
        <v>1.5834478546549398</v>
      </c>
      <c r="F15" s="2"/>
      <c r="G15" s="14"/>
    </row>
    <row r="16" spans="1:7" ht="75.75" customHeight="1">
      <c r="A16" s="15">
        <v>5</v>
      </c>
      <c r="B16" s="22" t="s">
        <v>78</v>
      </c>
      <c r="C16" s="22" t="s">
        <v>18</v>
      </c>
      <c r="D16" s="17">
        <f>E16*$D$3*12</f>
        <v>142.73878031936505</v>
      </c>
      <c r="E16" s="17">
        <v>0.11719111684676933</v>
      </c>
      <c r="F16" s="2"/>
      <c r="G16" s="14"/>
    </row>
    <row r="17" spans="1:7" ht="105">
      <c r="A17" s="15">
        <v>6</v>
      </c>
      <c r="B17" s="22" t="s">
        <v>22</v>
      </c>
      <c r="C17" s="22" t="s">
        <v>107</v>
      </c>
      <c r="D17" s="17">
        <f>E17*$D$3*12</f>
        <v>1785.9007066503514</v>
      </c>
      <c r="E17" s="20">
        <v>1.4662567378081703</v>
      </c>
      <c r="F17" s="2"/>
      <c r="G17" s="14"/>
    </row>
    <row r="18" spans="1:7" ht="15">
      <c r="A18" s="145" t="s">
        <v>70</v>
      </c>
      <c r="B18" s="145"/>
      <c r="C18" s="145"/>
      <c r="D18" s="25">
        <f>SUM(D19)</f>
        <v>198.2540322658562</v>
      </c>
      <c r="E18" s="25">
        <f>SUM(E19)</f>
        <v>0.16277014143337948</v>
      </c>
      <c r="F18" s="2"/>
      <c r="G18" s="14"/>
    </row>
    <row r="19" spans="1:7" ht="15">
      <c r="A19" s="15">
        <v>7</v>
      </c>
      <c r="B19" s="22" t="s">
        <v>25</v>
      </c>
      <c r="C19" s="22" t="s">
        <v>26</v>
      </c>
      <c r="D19" s="17">
        <f>E19*$D$3*12</f>
        <v>198.2540322658562</v>
      </c>
      <c r="E19" s="26">
        <v>0.16277014143337948</v>
      </c>
      <c r="F19" s="2"/>
      <c r="G19" s="14"/>
    </row>
    <row r="20" spans="1:7" ht="15">
      <c r="A20" s="9"/>
      <c r="B20" s="27" t="s">
        <v>27</v>
      </c>
      <c r="C20" s="27"/>
      <c r="D20" s="48">
        <f>D8+D11+D15+D18</f>
        <v>3698.190535223515</v>
      </c>
      <c r="E20" s="12">
        <f>E18+E15+E11+E8</f>
        <v>3.036281227605513</v>
      </c>
      <c r="F20" s="6"/>
      <c r="G20" s="14"/>
    </row>
    <row r="21" spans="1:6" ht="15">
      <c r="A21" s="29"/>
      <c r="B21" s="30"/>
      <c r="C21" s="31"/>
      <c r="D21" s="32"/>
      <c r="E21" s="33"/>
      <c r="F21" s="2"/>
    </row>
    <row r="22" spans="1:6" ht="15">
      <c r="A22" s="29"/>
      <c r="B22" s="30"/>
      <c r="C22" s="42"/>
      <c r="D22" s="42"/>
      <c r="E22" s="42"/>
      <c r="F22" s="42"/>
    </row>
    <row r="23" spans="1:6" ht="15">
      <c r="A23" s="29"/>
      <c r="B23" s="30"/>
      <c r="C23" s="42"/>
      <c r="D23" s="42"/>
      <c r="E23" s="42"/>
      <c r="F23" s="42"/>
    </row>
    <row r="24" spans="1:6" ht="29.25">
      <c r="A24" s="29"/>
      <c r="B24" s="30" t="s">
        <v>37</v>
      </c>
      <c r="C24" s="43">
        <f>D20</f>
        <v>3698.190535223515</v>
      </c>
      <c r="D24" s="43"/>
      <c r="E24" s="43"/>
      <c r="F24" s="42"/>
    </row>
    <row r="25" spans="1:6" ht="15">
      <c r="A25" s="29"/>
      <c r="B25" s="30" t="s">
        <v>38</v>
      </c>
      <c r="C25" s="44">
        <f>E20</f>
        <v>3.036281227605513</v>
      </c>
      <c r="D25" s="42"/>
      <c r="E25" s="42"/>
      <c r="F25" s="42"/>
    </row>
    <row r="26" spans="1:6" ht="68.25" customHeight="1">
      <c r="A26" s="2"/>
      <c r="B26" s="2"/>
      <c r="C26" s="2"/>
      <c r="D26" s="2"/>
      <c r="E26" s="2"/>
      <c r="F26" s="2"/>
    </row>
    <row r="27" spans="1:6" ht="39.75" customHeight="1">
      <c r="A27" s="138" t="s">
        <v>39</v>
      </c>
      <c r="B27" s="138"/>
      <c r="C27" s="138"/>
      <c r="D27" s="138"/>
      <c r="E27" s="138"/>
      <c r="F27" s="138"/>
    </row>
    <row r="28" spans="1:6" ht="15">
      <c r="A28" s="1"/>
      <c r="B28" s="1"/>
      <c r="C28" s="1"/>
      <c r="D28" s="2"/>
      <c r="E28" s="2"/>
      <c r="F28" s="2"/>
    </row>
    <row r="29" spans="1:6" ht="71.25">
      <c r="A29" s="8"/>
      <c r="B29" s="9" t="s">
        <v>4</v>
      </c>
      <c r="C29" s="9" t="s">
        <v>5</v>
      </c>
      <c r="D29" s="9" t="s">
        <v>6</v>
      </c>
      <c r="E29" s="9" t="s">
        <v>7</v>
      </c>
      <c r="F29" s="2"/>
    </row>
    <row r="30" spans="1:5" ht="15">
      <c r="A30" s="139" t="s">
        <v>40</v>
      </c>
      <c r="B30" s="139"/>
      <c r="C30" s="139"/>
      <c r="D30" s="12">
        <f>D31</f>
        <v>12.18</v>
      </c>
      <c r="E30" s="12">
        <f>E31</f>
        <v>0.01</v>
      </c>
    </row>
    <row r="31" spans="1:5" ht="30">
      <c r="A31" s="15">
        <v>1</v>
      </c>
      <c r="B31" s="45" t="s">
        <v>41</v>
      </c>
      <c r="C31" s="45" t="s">
        <v>42</v>
      </c>
      <c r="D31" s="17">
        <f>E31*12*$D$3</f>
        <v>12.18</v>
      </c>
      <c r="E31" s="46">
        <v>0.01</v>
      </c>
    </row>
    <row r="32" spans="1:5" ht="15">
      <c r="A32" s="139" t="s">
        <v>43</v>
      </c>
      <c r="B32" s="139"/>
      <c r="C32" s="139"/>
      <c r="D32" s="12">
        <f>D33+D34</f>
        <v>97.44</v>
      </c>
      <c r="E32" s="12">
        <f>E33+E34</f>
        <v>0.08</v>
      </c>
    </row>
    <row r="33" spans="1:5" ht="45">
      <c r="A33" s="15">
        <v>2</v>
      </c>
      <c r="B33" s="45" t="s">
        <v>44</v>
      </c>
      <c r="C33" s="45" t="s">
        <v>45</v>
      </c>
      <c r="D33" s="17">
        <f>E33*12*$D$3</f>
        <v>24.36</v>
      </c>
      <c r="E33" s="46">
        <v>0.02</v>
      </c>
    </row>
    <row r="34" spans="1:5" ht="15">
      <c r="A34" s="15">
        <v>3</v>
      </c>
      <c r="B34" s="47" t="s">
        <v>46</v>
      </c>
      <c r="C34" s="8" t="s">
        <v>42</v>
      </c>
      <c r="D34" s="17">
        <f>E34*12*$D$3</f>
        <v>73.08</v>
      </c>
      <c r="E34" s="18">
        <v>0.06</v>
      </c>
    </row>
    <row r="35" spans="1:6" ht="15">
      <c r="A35" s="9"/>
      <c r="B35" s="27" t="s">
        <v>27</v>
      </c>
      <c r="C35" s="27"/>
      <c r="D35" s="48">
        <f>D30+D32</f>
        <v>109.62</v>
      </c>
      <c r="E35" s="12">
        <f>E30+E32</f>
        <v>0.09</v>
      </c>
      <c r="F35" s="6"/>
    </row>
    <row r="36" spans="1:6" ht="15">
      <c r="A36" s="2"/>
      <c r="B36" s="2"/>
      <c r="C36" s="2"/>
      <c r="D36" s="2"/>
      <c r="E36" s="2"/>
      <c r="F36" s="2"/>
    </row>
    <row r="39" spans="1:6" ht="15">
      <c r="A39" s="2"/>
      <c r="B39" s="1" t="s">
        <v>108</v>
      </c>
      <c r="C39" s="4"/>
      <c r="D39" s="5">
        <v>104.9</v>
      </c>
      <c r="E39" s="6" t="s">
        <v>2</v>
      </c>
      <c r="F39" s="2"/>
    </row>
    <row r="40" spans="1:6" ht="15">
      <c r="A40" s="2"/>
      <c r="B40" s="7"/>
      <c r="C40" s="2"/>
      <c r="D40" s="2"/>
      <c r="E40" s="2"/>
      <c r="F40" s="2"/>
    </row>
    <row r="41" spans="1:6" ht="37.5" customHeight="1">
      <c r="A41" s="138" t="s">
        <v>3</v>
      </c>
      <c r="B41" s="138"/>
      <c r="C41" s="138"/>
      <c r="D41" s="138"/>
      <c r="E41" s="138"/>
      <c r="F41" s="2"/>
    </row>
    <row r="42" spans="1:6" ht="15">
      <c r="A42" s="1"/>
      <c r="B42" s="1"/>
      <c r="C42" s="1"/>
      <c r="D42" s="1"/>
      <c r="E42" s="1"/>
      <c r="F42" s="2"/>
    </row>
    <row r="43" spans="1:6" ht="71.25">
      <c r="A43" s="8"/>
      <c r="B43" s="9" t="s">
        <v>4</v>
      </c>
      <c r="C43" s="9" t="s">
        <v>5</v>
      </c>
      <c r="D43" s="9" t="s">
        <v>6</v>
      </c>
      <c r="E43" s="9" t="s">
        <v>7</v>
      </c>
      <c r="F43" s="2"/>
    </row>
    <row r="44" spans="1:7" ht="15">
      <c r="A44" s="140" t="s">
        <v>61</v>
      </c>
      <c r="B44" s="141"/>
      <c r="C44" s="142"/>
      <c r="D44" s="12">
        <f>SUM(D45:D46)</f>
        <v>148.02836823132228</v>
      </c>
      <c r="E44" s="12">
        <f>SUM(E45:E46)</f>
        <v>0.11759482700295701</v>
      </c>
      <c r="F44" s="19"/>
      <c r="G44" s="14"/>
    </row>
    <row r="45" spans="1:7" ht="15">
      <c r="A45" s="15">
        <v>1</v>
      </c>
      <c r="B45" s="8" t="s">
        <v>12</v>
      </c>
      <c r="C45" s="16" t="s">
        <v>13</v>
      </c>
      <c r="D45" s="17">
        <f>E45*12*$D$39</f>
        <v>135.43309078803503</v>
      </c>
      <c r="E45" s="20">
        <v>0.10758904574835958</v>
      </c>
      <c r="F45" s="21"/>
      <c r="G45" s="14"/>
    </row>
    <row r="46" spans="1:7" ht="30">
      <c r="A46" s="15">
        <v>2</v>
      </c>
      <c r="B46" s="22" t="s">
        <v>14</v>
      </c>
      <c r="C46" s="22" t="s">
        <v>15</v>
      </c>
      <c r="D46" s="17">
        <f>E46*12*$D$39</f>
        <v>12.595277443287253</v>
      </c>
      <c r="E46" s="17">
        <v>0.010005781254597437</v>
      </c>
      <c r="F46" s="21"/>
      <c r="G46" s="14"/>
    </row>
    <row r="47" spans="1:7" ht="15">
      <c r="A47" s="140" t="s">
        <v>64</v>
      </c>
      <c r="B47" s="143"/>
      <c r="C47" s="144"/>
      <c r="D47" s="23">
        <f>SUM(D48:D50)</f>
        <v>1284.364464781422</v>
      </c>
      <c r="E47" s="23">
        <f>SUM(E48:E50)</f>
        <v>1.020308599286163</v>
      </c>
      <c r="F47" s="21"/>
      <c r="G47" s="14"/>
    </row>
    <row r="48" spans="1:7" ht="30">
      <c r="A48" s="58">
        <v>3</v>
      </c>
      <c r="B48" s="22" t="s">
        <v>17</v>
      </c>
      <c r="C48" s="22" t="s">
        <v>18</v>
      </c>
      <c r="D48" s="17">
        <f>E48*12*$D$39</f>
        <v>47.19022995124924</v>
      </c>
      <c r="E48" s="20">
        <v>0.037488266564386113</v>
      </c>
      <c r="F48" s="21"/>
      <c r="G48" s="14"/>
    </row>
    <row r="49" spans="1:7" ht="30">
      <c r="A49" s="58">
        <v>4</v>
      </c>
      <c r="B49" s="22" t="s">
        <v>105</v>
      </c>
      <c r="C49" s="22" t="s">
        <v>18</v>
      </c>
      <c r="D49" s="17">
        <f>E49*12*$D$39</f>
        <v>128.30330885357853</v>
      </c>
      <c r="E49" s="20">
        <v>0.10192509441815899</v>
      </c>
      <c r="F49" s="21"/>
      <c r="G49" s="14"/>
    </row>
    <row r="50" spans="1:7" ht="90">
      <c r="A50" s="15">
        <v>5</v>
      </c>
      <c r="B50" s="22" t="s">
        <v>106</v>
      </c>
      <c r="C50" s="22" t="s">
        <v>18</v>
      </c>
      <c r="D50" s="17">
        <f>E50*12*$D$39</f>
        <v>1108.8709259765942</v>
      </c>
      <c r="E50" s="17">
        <v>0.8808952383036179</v>
      </c>
      <c r="F50" s="2"/>
      <c r="G50" s="14"/>
    </row>
    <row r="51" spans="1:7" ht="15">
      <c r="A51" s="145" t="s">
        <v>67</v>
      </c>
      <c r="B51" s="146"/>
      <c r="C51" s="146"/>
      <c r="D51" s="24">
        <f>SUM(D52:D53)</f>
        <v>1950.0823183467783</v>
      </c>
      <c r="E51" s="24">
        <f>SUM(E52:E53)</f>
        <v>1.5491597698973452</v>
      </c>
      <c r="F51" s="2"/>
      <c r="G51" s="14"/>
    </row>
    <row r="52" spans="1:7" ht="75">
      <c r="A52" s="15">
        <v>6</v>
      </c>
      <c r="B52" s="22" t="s">
        <v>98</v>
      </c>
      <c r="C52" s="22" t="s">
        <v>18</v>
      </c>
      <c r="D52" s="17">
        <f>E52*12*$D$39</f>
        <v>143.83594141117197</v>
      </c>
      <c r="E52" s="17">
        <v>0.11426433223003811</v>
      </c>
      <c r="F52" s="2"/>
      <c r="G52" s="14"/>
    </row>
    <row r="53" spans="1:7" ht="90">
      <c r="A53" s="15">
        <v>7</v>
      </c>
      <c r="B53" s="22" t="s">
        <v>22</v>
      </c>
      <c r="C53" s="22" t="s">
        <v>79</v>
      </c>
      <c r="D53" s="17">
        <f>E53*12*$D$39</f>
        <v>1806.2463769356063</v>
      </c>
      <c r="E53" s="20">
        <v>1.434895437667307</v>
      </c>
      <c r="F53" s="2"/>
      <c r="G53" s="14"/>
    </row>
    <row r="54" spans="1:7" ht="15">
      <c r="A54" s="145" t="s">
        <v>70</v>
      </c>
      <c r="B54" s="145"/>
      <c r="C54" s="145"/>
      <c r="D54" s="25">
        <f>SUM(D55)</f>
        <v>189.99225929628997</v>
      </c>
      <c r="E54" s="25">
        <f>SUM(E55)</f>
        <v>0.150931251426986</v>
      </c>
      <c r="F54" s="2"/>
      <c r="G54" s="14"/>
    </row>
    <row r="55" spans="1:7" ht="15">
      <c r="A55" s="15">
        <v>8</v>
      </c>
      <c r="B55" s="22" t="s">
        <v>25</v>
      </c>
      <c r="C55" s="22" t="s">
        <v>26</v>
      </c>
      <c r="D55" s="17">
        <f>E55*12*$D$39</f>
        <v>189.99225929628997</v>
      </c>
      <c r="E55" s="26">
        <f>0.155931251426986-0.005</f>
        <v>0.150931251426986</v>
      </c>
      <c r="F55" s="2"/>
      <c r="G55" s="14"/>
    </row>
    <row r="56" spans="1:7" ht="15">
      <c r="A56" s="9"/>
      <c r="B56" s="27" t="s">
        <v>27</v>
      </c>
      <c r="C56" s="27"/>
      <c r="D56" s="48">
        <f>D44+D47+D51+D54</f>
        <v>3572.4674106558123</v>
      </c>
      <c r="E56" s="12">
        <f>E44+E47+E51+E54</f>
        <v>2.837994447613451</v>
      </c>
      <c r="F56" s="6"/>
      <c r="G56" s="14"/>
    </row>
    <row r="57" spans="1:6" ht="15">
      <c r="A57" s="29"/>
      <c r="B57" s="30"/>
      <c r="C57" s="31"/>
      <c r="D57" s="32"/>
      <c r="E57" s="33"/>
      <c r="F57" s="2"/>
    </row>
    <row r="58" spans="1:6" ht="15">
      <c r="A58" s="29"/>
      <c r="B58" s="30"/>
      <c r="C58" s="42"/>
      <c r="D58" s="42"/>
      <c r="E58" s="42"/>
      <c r="F58" s="42"/>
    </row>
    <row r="59" spans="1:6" ht="29.25">
      <c r="A59" s="29"/>
      <c r="B59" s="30" t="s">
        <v>37</v>
      </c>
      <c r="C59" s="43">
        <f>D56</f>
        <v>3572.4674106558123</v>
      </c>
      <c r="D59" s="43"/>
      <c r="E59" s="43"/>
      <c r="F59" s="42"/>
    </row>
    <row r="60" spans="1:6" ht="15">
      <c r="A60" s="29"/>
      <c r="B60" s="30" t="s">
        <v>38</v>
      </c>
      <c r="C60" s="44">
        <f>E56</f>
        <v>2.837994447613451</v>
      </c>
      <c r="D60" s="42"/>
      <c r="E60" s="42"/>
      <c r="F60" s="42"/>
    </row>
    <row r="61" spans="1:6" ht="15">
      <c r="A61" s="2"/>
      <c r="B61" s="2"/>
      <c r="C61" s="2"/>
      <c r="D61" s="2"/>
      <c r="E61" s="2"/>
      <c r="F61" s="2"/>
    </row>
    <row r="62" spans="1:6" ht="38.25" customHeight="1">
      <c r="A62" s="138" t="s">
        <v>39</v>
      </c>
      <c r="B62" s="138"/>
      <c r="C62" s="138"/>
      <c r="D62" s="138"/>
      <c r="E62" s="138"/>
      <c r="F62" s="138"/>
    </row>
    <row r="63" spans="1:6" ht="15">
      <c r="A63" s="1"/>
      <c r="B63" s="1"/>
      <c r="C63" s="1"/>
      <c r="D63" s="2"/>
      <c r="E63" s="2"/>
      <c r="F63" s="2"/>
    </row>
    <row r="64" spans="1:6" ht="71.25">
      <c r="A64" s="8"/>
      <c r="B64" s="9" t="s">
        <v>4</v>
      </c>
      <c r="C64" s="9" t="s">
        <v>5</v>
      </c>
      <c r="D64" s="9" t="s">
        <v>6</v>
      </c>
      <c r="E64" s="9" t="s">
        <v>7</v>
      </c>
      <c r="F64" s="2"/>
    </row>
    <row r="65" spans="1:5" ht="15">
      <c r="A65" s="139" t="s">
        <v>40</v>
      </c>
      <c r="B65" s="139"/>
      <c r="C65" s="139"/>
      <c r="D65" s="12">
        <f>D66</f>
        <v>12.588000000000001</v>
      </c>
      <c r="E65" s="12">
        <f>E66</f>
        <v>0.01</v>
      </c>
    </row>
    <row r="66" spans="1:5" ht="30">
      <c r="A66" s="15">
        <v>1</v>
      </c>
      <c r="B66" s="45" t="s">
        <v>41</v>
      </c>
      <c r="C66" s="45" t="s">
        <v>42</v>
      </c>
      <c r="D66" s="17">
        <f>E66*12*$D$39</f>
        <v>12.588000000000001</v>
      </c>
      <c r="E66" s="46">
        <v>0.01</v>
      </c>
    </row>
    <row r="67" spans="1:5" ht="15">
      <c r="A67" s="139" t="s">
        <v>43</v>
      </c>
      <c r="B67" s="139"/>
      <c r="C67" s="139"/>
      <c r="D67" s="12">
        <f>D68+D69</f>
        <v>100.70400000000001</v>
      </c>
      <c r="E67" s="12">
        <f>E68+E69</f>
        <v>0.08</v>
      </c>
    </row>
    <row r="68" spans="1:5" ht="45">
      <c r="A68" s="15">
        <v>2</v>
      </c>
      <c r="B68" s="45" t="s">
        <v>44</v>
      </c>
      <c r="C68" s="45" t="s">
        <v>45</v>
      </c>
      <c r="D68" s="17">
        <f>E68*12*$D$39</f>
        <v>25.176000000000002</v>
      </c>
      <c r="E68" s="46">
        <v>0.02</v>
      </c>
    </row>
    <row r="69" spans="1:5" ht="15">
      <c r="A69" s="15">
        <v>3</v>
      </c>
      <c r="B69" s="47" t="s">
        <v>46</v>
      </c>
      <c r="C69" s="8" t="s">
        <v>42</v>
      </c>
      <c r="D69" s="17">
        <f>E69*12*$D$39</f>
        <v>75.528</v>
      </c>
      <c r="E69" s="18">
        <v>0.06</v>
      </c>
    </row>
    <row r="70" spans="1:6" ht="15">
      <c r="A70" s="9"/>
      <c r="B70" s="27" t="s">
        <v>27</v>
      </c>
      <c r="C70" s="27"/>
      <c r="D70" s="48">
        <f>D65+D67</f>
        <v>113.292</v>
      </c>
      <c r="E70" s="12">
        <f>E65+E67</f>
        <v>0.09</v>
      </c>
      <c r="F70" s="6"/>
    </row>
    <row r="71" spans="1:6" ht="15">
      <c r="A71" s="2"/>
      <c r="B71" s="2"/>
      <c r="C71" s="2"/>
      <c r="D71" s="2"/>
      <c r="E71" s="2"/>
      <c r="F71" s="2"/>
    </row>
    <row r="74" spans="2:3" ht="29.25">
      <c r="B74" s="30" t="s">
        <v>109</v>
      </c>
      <c r="C74" s="55">
        <f>C59+C24</f>
        <v>7270.657945879328</v>
      </c>
    </row>
  </sheetData>
  <mergeCells count="17">
    <mergeCell ref="A1:E1"/>
    <mergeCell ref="A5:E5"/>
    <mergeCell ref="A8:C8"/>
    <mergeCell ref="A11:C11"/>
    <mergeCell ref="A15:C15"/>
    <mergeCell ref="A18:C18"/>
    <mergeCell ref="A27:F27"/>
    <mergeCell ref="A30:C30"/>
    <mergeCell ref="A32:C32"/>
    <mergeCell ref="A41:E41"/>
    <mergeCell ref="A44:C44"/>
    <mergeCell ref="A47:C47"/>
    <mergeCell ref="A67:C67"/>
    <mergeCell ref="A51:C51"/>
    <mergeCell ref="A54:C54"/>
    <mergeCell ref="A62:F62"/>
    <mergeCell ref="A65:C6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G72"/>
  <sheetViews>
    <sheetView zoomScale="97" zoomScaleNormal="97" workbookViewId="0" topLeftCell="A46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38" t="s">
        <v>110</v>
      </c>
      <c r="B1" s="138"/>
      <c r="C1" s="138"/>
      <c r="D1" s="138"/>
      <c r="E1" s="138"/>
      <c r="F1" s="2"/>
    </row>
    <row r="3" spans="1:6" ht="15">
      <c r="A3" s="2"/>
      <c r="B3" s="1" t="s">
        <v>111</v>
      </c>
      <c r="C3" s="4"/>
      <c r="D3" s="5">
        <v>88.7</v>
      </c>
      <c r="E3" s="6" t="s">
        <v>2</v>
      </c>
      <c r="F3" s="2"/>
    </row>
    <row r="4" spans="1:6" ht="15">
      <c r="A4" s="2"/>
      <c r="B4" s="7"/>
      <c r="C4" s="2"/>
      <c r="D4" s="2"/>
      <c r="E4" s="2"/>
      <c r="F4" s="2"/>
    </row>
    <row r="5" spans="1:6" ht="30.75" customHeight="1">
      <c r="A5" s="138" t="s">
        <v>3</v>
      </c>
      <c r="B5" s="138"/>
      <c r="C5" s="138"/>
      <c r="D5" s="138"/>
      <c r="E5" s="138"/>
      <c r="F5" s="2"/>
    </row>
    <row r="6" spans="1:6" ht="15">
      <c r="A6" s="1"/>
      <c r="B6" s="1"/>
      <c r="C6" s="1"/>
      <c r="D6" s="1"/>
      <c r="E6" s="1"/>
      <c r="F6" s="2"/>
    </row>
    <row r="7" spans="1:6" ht="71.25">
      <c r="A7" s="8"/>
      <c r="B7" s="9" t="s">
        <v>4</v>
      </c>
      <c r="C7" s="9" t="s">
        <v>5</v>
      </c>
      <c r="D7" s="9" t="s">
        <v>6</v>
      </c>
      <c r="E7" s="9" t="s">
        <v>7</v>
      </c>
      <c r="F7" s="2"/>
    </row>
    <row r="8" spans="1:7" ht="15">
      <c r="A8" s="140" t="s">
        <v>61</v>
      </c>
      <c r="B8" s="141"/>
      <c r="C8" s="142"/>
      <c r="D8" s="12">
        <f>SUM(D9:D10)</f>
        <v>1878.1700765058642</v>
      </c>
      <c r="E8" s="12">
        <f>SUM(E9:E10)</f>
        <v>1.764534081647749</v>
      </c>
      <c r="F8" s="19"/>
      <c r="G8" s="14"/>
    </row>
    <row r="9" spans="1:7" ht="15">
      <c r="A9" s="15">
        <v>1</v>
      </c>
      <c r="B9" s="8" t="s">
        <v>12</v>
      </c>
      <c r="C9" s="16" t="s">
        <v>13</v>
      </c>
      <c r="D9" s="17">
        <f>E9*$D$3*12</f>
        <v>1718.362375577185</v>
      </c>
      <c r="E9" s="20">
        <v>1.61439531715256</v>
      </c>
      <c r="F9" s="21"/>
      <c r="G9" s="14"/>
    </row>
    <row r="10" spans="1:7" ht="30">
      <c r="A10" s="15">
        <v>2</v>
      </c>
      <c r="B10" s="22" t="s">
        <v>14</v>
      </c>
      <c r="C10" s="22" t="s">
        <v>15</v>
      </c>
      <c r="D10" s="17">
        <f>E10*$D$3*12</f>
        <v>159.8077009286792</v>
      </c>
      <c r="E10" s="17">
        <v>0.150138764495189</v>
      </c>
      <c r="F10" s="21"/>
      <c r="G10" s="14"/>
    </row>
    <row r="11" spans="1:7" ht="15">
      <c r="A11" s="140" t="s">
        <v>64</v>
      </c>
      <c r="B11" s="143"/>
      <c r="C11" s="144"/>
      <c r="D11" s="23">
        <f>SUM(D12:D13)</f>
        <v>98.82222159050808</v>
      </c>
      <c r="E11" s="23">
        <f>SUM(E12:E13)</f>
        <v>0.0928431243804097</v>
      </c>
      <c r="F11" s="21"/>
      <c r="G11" s="14"/>
    </row>
    <row r="12" spans="1:7" ht="18.75" customHeight="1">
      <c r="A12" s="58">
        <v>3</v>
      </c>
      <c r="B12" s="22" t="s">
        <v>17</v>
      </c>
      <c r="C12" s="22" t="s">
        <v>18</v>
      </c>
      <c r="D12" s="17">
        <f>E12*$D$3*12</f>
        <v>54.431383571857</v>
      </c>
      <c r="E12" s="20">
        <v>0.0511380905410156</v>
      </c>
      <c r="F12" s="21"/>
      <c r="G12" s="14"/>
    </row>
    <row r="13" spans="1:7" ht="60">
      <c r="A13" s="15">
        <v>4</v>
      </c>
      <c r="B13" s="22" t="s">
        <v>19</v>
      </c>
      <c r="C13" s="22" t="s">
        <v>18</v>
      </c>
      <c r="D13" s="17">
        <f>E13*$D$3*12</f>
        <v>44.39083801865108</v>
      </c>
      <c r="E13" s="17">
        <v>0.0417050338393941</v>
      </c>
      <c r="F13" s="2"/>
      <c r="G13" s="14"/>
    </row>
    <row r="14" spans="1:7" ht="15">
      <c r="A14" s="145" t="s">
        <v>67</v>
      </c>
      <c r="B14" s="146"/>
      <c r="C14" s="146"/>
      <c r="D14" s="24">
        <f>SUM(D15:D16)</f>
        <v>324.80648991453927</v>
      </c>
      <c r="E14" s="24">
        <f>SUM(E15:E16)</f>
        <v>0.3051545376874664</v>
      </c>
      <c r="F14" s="2"/>
      <c r="G14" s="14"/>
    </row>
    <row r="15" spans="1:7" ht="61.5" customHeight="1">
      <c r="A15" s="15">
        <v>5</v>
      </c>
      <c r="B15" s="22" t="s">
        <v>98</v>
      </c>
      <c r="C15" s="22" t="s">
        <v>18</v>
      </c>
      <c r="D15" s="17">
        <f>E15*$D$3*12</f>
        <v>15.198915888332964</v>
      </c>
      <c r="E15" s="17">
        <v>0.0142793272156454</v>
      </c>
      <c r="F15" s="2"/>
      <c r="G15" s="14"/>
    </row>
    <row r="16" spans="1:7" ht="90">
      <c r="A16" s="15">
        <v>6</v>
      </c>
      <c r="B16" s="22" t="s">
        <v>22</v>
      </c>
      <c r="C16" s="22" t="s">
        <v>79</v>
      </c>
      <c r="D16" s="17">
        <f>E16*$D$3*12</f>
        <v>309.6075740262063</v>
      </c>
      <c r="E16" s="20">
        <v>0.290875210471821</v>
      </c>
      <c r="F16" s="2"/>
      <c r="G16" s="14"/>
    </row>
    <row r="17" spans="1:7" ht="15">
      <c r="A17" s="145" t="s">
        <v>70</v>
      </c>
      <c r="B17" s="145"/>
      <c r="C17" s="145"/>
      <c r="D17" s="25">
        <f>SUM(D18)</f>
        <v>215.62275951924804</v>
      </c>
      <c r="E17" s="25">
        <f>SUM(E18)</f>
        <v>0.202576812776445</v>
      </c>
      <c r="F17" s="2"/>
      <c r="G17" s="14"/>
    </row>
    <row r="18" spans="1:7" ht="15">
      <c r="A18" s="15">
        <v>7</v>
      </c>
      <c r="B18" s="22" t="s">
        <v>25</v>
      </c>
      <c r="C18" s="22" t="s">
        <v>26</v>
      </c>
      <c r="D18" s="17">
        <f>E18*$D$3*12</f>
        <v>215.62275951924804</v>
      </c>
      <c r="E18" s="26">
        <f>0.206326812776445-0.00375</f>
        <v>0.202576812776445</v>
      </c>
      <c r="F18" s="2"/>
      <c r="G18" s="14"/>
    </row>
    <row r="19" spans="1:7" ht="15">
      <c r="A19" s="9"/>
      <c r="B19" s="27" t="s">
        <v>27</v>
      </c>
      <c r="C19" s="27"/>
      <c r="D19" s="48">
        <f>D8+D11+D14+D17</f>
        <v>2517.4215475301594</v>
      </c>
      <c r="E19" s="12">
        <v>2.37</v>
      </c>
      <c r="F19" s="6"/>
      <c r="G19" s="14"/>
    </row>
    <row r="20" spans="1:6" ht="15">
      <c r="A20" s="29"/>
      <c r="B20" s="30"/>
      <c r="C20" s="31"/>
      <c r="D20" s="32"/>
      <c r="E20" s="33"/>
      <c r="F20" s="2"/>
    </row>
    <row r="21" spans="1:6" ht="15">
      <c r="A21" s="29"/>
      <c r="B21" s="30"/>
      <c r="C21" s="42"/>
      <c r="D21" s="42"/>
      <c r="E21" s="42"/>
      <c r="F21" s="42"/>
    </row>
    <row r="22" spans="1:6" ht="29.25">
      <c r="A22" s="29"/>
      <c r="B22" s="30" t="s">
        <v>37</v>
      </c>
      <c r="C22" s="43">
        <f>D19</f>
        <v>2517.4215475301594</v>
      </c>
      <c r="D22" s="43"/>
      <c r="E22" s="43"/>
      <c r="F22" s="42"/>
    </row>
    <row r="23" spans="1:6" ht="15">
      <c r="A23" s="29"/>
      <c r="B23" s="30" t="s">
        <v>38</v>
      </c>
      <c r="C23" s="44">
        <f>E19</f>
        <v>2.37</v>
      </c>
      <c r="D23" s="42"/>
      <c r="E23" s="42"/>
      <c r="F23" s="42"/>
    </row>
    <row r="24" spans="1:6" ht="35.25" customHeight="1">
      <c r="A24" s="2"/>
      <c r="B24" s="2"/>
      <c r="C24" s="2"/>
      <c r="D24" s="2"/>
      <c r="E24" s="2"/>
      <c r="F24" s="2"/>
    </row>
    <row r="25" spans="1:6" ht="39.75" customHeight="1">
      <c r="A25" s="138" t="s">
        <v>39</v>
      </c>
      <c r="B25" s="138"/>
      <c r="C25" s="138"/>
      <c r="D25" s="138"/>
      <c r="E25" s="138"/>
      <c r="F25" s="138"/>
    </row>
    <row r="26" spans="1:6" ht="15">
      <c r="A26" s="1"/>
      <c r="B26" s="1"/>
      <c r="C26" s="1"/>
      <c r="D26" s="2"/>
      <c r="E26" s="2"/>
      <c r="F26" s="2"/>
    </row>
    <row r="27" spans="1:6" ht="71.25">
      <c r="A27" s="8"/>
      <c r="B27" s="9" t="s">
        <v>4</v>
      </c>
      <c r="C27" s="9" t="s">
        <v>5</v>
      </c>
      <c r="D27" s="9" t="s">
        <v>6</v>
      </c>
      <c r="E27" s="9" t="s">
        <v>7</v>
      </c>
      <c r="F27" s="2"/>
    </row>
    <row r="28" spans="1:5" ht="15">
      <c r="A28" s="139" t="s">
        <v>40</v>
      </c>
      <c r="B28" s="139"/>
      <c r="C28" s="139"/>
      <c r="D28" s="12">
        <f>D29</f>
        <v>10.644</v>
      </c>
      <c r="E28" s="12">
        <f>E29</f>
        <v>0.01</v>
      </c>
    </row>
    <row r="29" spans="1:5" ht="30">
      <c r="A29" s="15">
        <v>1</v>
      </c>
      <c r="B29" s="45" t="s">
        <v>41</v>
      </c>
      <c r="C29" s="45" t="s">
        <v>42</v>
      </c>
      <c r="D29" s="17">
        <f>E29*12*$D$3</f>
        <v>10.644</v>
      </c>
      <c r="E29" s="46">
        <v>0.01</v>
      </c>
    </row>
    <row r="30" spans="1:5" ht="15">
      <c r="A30" s="139" t="s">
        <v>43</v>
      </c>
      <c r="B30" s="139"/>
      <c r="C30" s="139"/>
      <c r="D30" s="12">
        <f>D31+D32</f>
        <v>85.152</v>
      </c>
      <c r="E30" s="12">
        <f>E31+E32</f>
        <v>0.08</v>
      </c>
    </row>
    <row r="31" spans="1:5" ht="45">
      <c r="A31" s="15">
        <v>2</v>
      </c>
      <c r="B31" s="45" t="s">
        <v>44</v>
      </c>
      <c r="C31" s="45" t="s">
        <v>45</v>
      </c>
      <c r="D31" s="17">
        <f>E31*12*$D$3</f>
        <v>21.288</v>
      </c>
      <c r="E31" s="46">
        <v>0.02</v>
      </c>
    </row>
    <row r="32" spans="1:5" ht="15">
      <c r="A32" s="15">
        <v>3</v>
      </c>
      <c r="B32" s="47" t="s">
        <v>46</v>
      </c>
      <c r="C32" s="8" t="s">
        <v>42</v>
      </c>
      <c r="D32" s="17">
        <f>E32*12*$D$3</f>
        <v>63.864</v>
      </c>
      <c r="E32" s="18">
        <v>0.06</v>
      </c>
    </row>
    <row r="33" spans="1:6" ht="15">
      <c r="A33" s="9"/>
      <c r="B33" s="27" t="s">
        <v>27</v>
      </c>
      <c r="C33" s="27"/>
      <c r="D33" s="48">
        <f>D28+D30</f>
        <v>95.796</v>
      </c>
      <c r="E33" s="12">
        <f>E28+E30</f>
        <v>0.09</v>
      </c>
      <c r="F33" s="6"/>
    </row>
    <row r="34" spans="1:6" ht="15">
      <c r="A34" s="2"/>
      <c r="B34" s="2"/>
      <c r="C34" s="2"/>
      <c r="D34" s="2"/>
      <c r="E34" s="2"/>
      <c r="F34" s="2"/>
    </row>
    <row r="37" spans="1:6" ht="15">
      <c r="A37" s="2"/>
      <c r="B37" s="1" t="s">
        <v>112</v>
      </c>
      <c r="C37" s="4"/>
      <c r="D37" s="5">
        <v>105.6</v>
      </c>
      <c r="E37" s="6" t="s">
        <v>2</v>
      </c>
      <c r="F37" s="2"/>
    </row>
    <row r="38" spans="1:6" ht="15">
      <c r="A38" s="2"/>
      <c r="B38" s="7"/>
      <c r="C38" s="2"/>
      <c r="D38" s="2"/>
      <c r="E38" s="2"/>
      <c r="F38" s="2"/>
    </row>
    <row r="39" spans="1:6" ht="37.5" customHeight="1">
      <c r="A39" s="138" t="s">
        <v>3</v>
      </c>
      <c r="B39" s="138"/>
      <c r="C39" s="138"/>
      <c r="D39" s="138"/>
      <c r="E39" s="138"/>
      <c r="F39" s="2"/>
    </row>
    <row r="40" spans="1:6" ht="15">
      <c r="A40" s="1"/>
      <c r="B40" s="1"/>
      <c r="C40" s="1"/>
      <c r="D40" s="1"/>
      <c r="E40" s="1"/>
      <c r="F40" s="2"/>
    </row>
    <row r="41" spans="1:6" ht="71.25">
      <c r="A41" s="8"/>
      <c r="B41" s="9" t="s">
        <v>4</v>
      </c>
      <c r="C41" s="9" t="s">
        <v>5</v>
      </c>
      <c r="D41" s="9" t="s">
        <v>6</v>
      </c>
      <c r="E41" s="9" t="s">
        <v>7</v>
      </c>
      <c r="F41" s="2"/>
    </row>
    <row r="42" spans="1:7" ht="15">
      <c r="A42" s="140" t="s">
        <v>61</v>
      </c>
      <c r="B42" s="141"/>
      <c r="C42" s="142"/>
      <c r="D42" s="12">
        <f>SUM(D43:D44)</f>
        <v>2236.0175882640274</v>
      </c>
      <c r="E42" s="12">
        <f>SUM(E43:E44)</f>
        <v>1.764534081647749</v>
      </c>
      <c r="F42" s="19"/>
      <c r="G42" s="14"/>
    </row>
    <row r="43" spans="1:7" ht="15">
      <c r="A43" s="15">
        <v>1</v>
      </c>
      <c r="B43" s="8" t="s">
        <v>12</v>
      </c>
      <c r="C43" s="16" t="s">
        <v>13</v>
      </c>
      <c r="D43" s="17">
        <f>E43*12*$D$37</f>
        <v>2045.7617458957238</v>
      </c>
      <c r="E43" s="20">
        <v>1.61439531715256</v>
      </c>
      <c r="F43" s="21"/>
      <c r="G43" s="14"/>
    </row>
    <row r="44" spans="1:7" ht="30">
      <c r="A44" s="15">
        <v>2</v>
      </c>
      <c r="B44" s="22" t="s">
        <v>14</v>
      </c>
      <c r="C44" s="22" t="s">
        <v>15</v>
      </c>
      <c r="D44" s="17">
        <f>E44*12*$D$37</f>
        <v>190.2558423683035</v>
      </c>
      <c r="E44" s="17">
        <v>0.150138764495189</v>
      </c>
      <c r="F44" s="21"/>
      <c r="G44" s="14"/>
    </row>
    <row r="45" spans="1:7" ht="15">
      <c r="A45" s="140" t="s">
        <v>64</v>
      </c>
      <c r="B45" s="143"/>
      <c r="C45" s="144"/>
      <c r="D45" s="23">
        <f>SUM(D46:D47)</f>
        <v>117.65080721485515</v>
      </c>
      <c r="E45" s="23">
        <f>SUM(E46:E47)</f>
        <v>0.0928431243804097</v>
      </c>
      <c r="F45" s="21"/>
      <c r="G45" s="14"/>
    </row>
    <row r="46" spans="1:7" ht="30">
      <c r="A46" s="58">
        <v>3</v>
      </c>
      <c r="B46" s="22" t="s">
        <v>17</v>
      </c>
      <c r="C46" s="22" t="s">
        <v>18</v>
      </c>
      <c r="D46" s="17">
        <f>E46*12*$D$37</f>
        <v>64.80218833357496</v>
      </c>
      <c r="E46" s="20">
        <v>0.0511380905410156</v>
      </c>
      <c r="F46" s="21"/>
      <c r="G46" s="14"/>
    </row>
    <row r="47" spans="1:7" ht="60">
      <c r="A47" s="15">
        <v>4</v>
      </c>
      <c r="B47" s="22" t="s">
        <v>19</v>
      </c>
      <c r="C47" s="22" t="s">
        <v>18</v>
      </c>
      <c r="D47" s="17">
        <f>E47*12*$D$37</f>
        <v>52.848618881280196</v>
      </c>
      <c r="E47" s="17">
        <v>0.0417050338393941</v>
      </c>
      <c r="F47" s="2"/>
      <c r="G47" s="14"/>
    </row>
    <row r="48" spans="1:7" ht="15">
      <c r="A48" s="145" t="s">
        <v>67</v>
      </c>
      <c r="B48" s="146"/>
      <c r="C48" s="146"/>
      <c r="D48" s="24">
        <f>SUM(D49:D50)</f>
        <v>386.69183015755743</v>
      </c>
      <c r="E48" s="24">
        <f>SUM(E49:E50)</f>
        <v>0.3051545376874664</v>
      </c>
      <c r="F48" s="2"/>
      <c r="G48" s="14"/>
    </row>
    <row r="49" spans="1:7" ht="75">
      <c r="A49" s="15">
        <v>5</v>
      </c>
      <c r="B49" s="22" t="s">
        <v>98</v>
      </c>
      <c r="C49" s="22" t="s">
        <v>18</v>
      </c>
      <c r="D49" s="17">
        <f>E49*12*$D$37</f>
        <v>18.09476344766585</v>
      </c>
      <c r="E49" s="17">
        <v>0.0142793272156454</v>
      </c>
      <c r="F49" s="2"/>
      <c r="G49" s="14"/>
    </row>
    <row r="50" spans="1:7" ht="90">
      <c r="A50" s="15">
        <v>6</v>
      </c>
      <c r="B50" s="22" t="s">
        <v>22</v>
      </c>
      <c r="C50" s="22" t="s">
        <v>79</v>
      </c>
      <c r="D50" s="17">
        <f>E50*12*$D$37</f>
        <v>368.5970667098916</v>
      </c>
      <c r="E50" s="20">
        <v>0.290875210471821</v>
      </c>
      <c r="F50" s="2"/>
      <c r="G50" s="14"/>
    </row>
    <row r="51" spans="1:7" ht="15">
      <c r="A51" s="145" t="s">
        <v>70</v>
      </c>
      <c r="B51" s="145"/>
      <c r="C51" s="145"/>
      <c r="D51" s="25">
        <f>SUM(D52)</f>
        <v>256.70533715031104</v>
      </c>
      <c r="E51" s="25">
        <f>SUM(E52)</f>
        <v>0.202576812776445</v>
      </c>
      <c r="F51" s="2"/>
      <c r="G51" s="14"/>
    </row>
    <row r="52" spans="1:7" ht="15">
      <c r="A52" s="15">
        <v>7</v>
      </c>
      <c r="B52" s="22" t="s">
        <v>25</v>
      </c>
      <c r="C52" s="22" t="s">
        <v>26</v>
      </c>
      <c r="D52" s="17">
        <f>E52*12*$D$37</f>
        <v>256.70533715031104</v>
      </c>
      <c r="E52" s="26">
        <f>0.206326812776445-0.00375</f>
        <v>0.202576812776445</v>
      </c>
      <c r="F52" s="2"/>
      <c r="G52" s="14"/>
    </row>
    <row r="53" spans="1:7" ht="15">
      <c r="A53" s="9"/>
      <c r="B53" s="27" t="s">
        <v>27</v>
      </c>
      <c r="C53" s="27"/>
      <c r="D53" s="48">
        <f>D42+D45+D48+D51</f>
        <v>2997.065562786751</v>
      </c>
      <c r="E53" s="12">
        <f>E51+E48+E45+E42</f>
        <v>2.3651085564920704</v>
      </c>
      <c r="F53" s="6"/>
      <c r="G53" s="14"/>
    </row>
    <row r="54" spans="1:6" ht="15">
      <c r="A54" s="29"/>
      <c r="B54" s="30"/>
      <c r="C54" s="31"/>
      <c r="D54" s="32"/>
      <c r="E54" s="33"/>
      <c r="F54" s="2"/>
    </row>
    <row r="55" spans="1:6" ht="15">
      <c r="A55" s="29"/>
      <c r="B55" s="30"/>
      <c r="C55" s="42"/>
      <c r="D55" s="42"/>
      <c r="E55" s="42"/>
      <c r="F55" s="42"/>
    </row>
    <row r="56" spans="1:6" ht="29.25">
      <c r="A56" s="29"/>
      <c r="B56" s="30" t="s">
        <v>37</v>
      </c>
      <c r="C56" s="43">
        <f>D53</f>
        <v>2997.065562786751</v>
      </c>
      <c r="D56" s="43"/>
      <c r="E56" s="43"/>
      <c r="F56" s="42"/>
    </row>
    <row r="57" spans="1:6" ht="15">
      <c r="A57" s="29"/>
      <c r="B57" s="30" t="s">
        <v>38</v>
      </c>
      <c r="C57" s="44">
        <f>E53</f>
        <v>2.3651085564920704</v>
      </c>
      <c r="D57" s="42"/>
      <c r="E57" s="42"/>
      <c r="F57" s="42"/>
    </row>
    <row r="58" spans="1:6" ht="57.75" customHeight="1">
      <c r="A58" s="2"/>
      <c r="B58" s="2"/>
      <c r="C58" s="2"/>
      <c r="D58" s="2"/>
      <c r="E58" s="2"/>
      <c r="F58" s="2"/>
    </row>
    <row r="59" spans="1:6" ht="38.25" customHeight="1">
      <c r="A59" s="138" t="s">
        <v>39</v>
      </c>
      <c r="B59" s="138"/>
      <c r="C59" s="138"/>
      <c r="D59" s="138"/>
      <c r="E59" s="138"/>
      <c r="F59" s="138"/>
    </row>
    <row r="60" spans="1:6" ht="15">
      <c r="A60" s="1"/>
      <c r="B60" s="1"/>
      <c r="C60" s="1"/>
      <c r="D60" s="2"/>
      <c r="E60" s="2"/>
      <c r="F60" s="2"/>
    </row>
    <row r="61" spans="1:6" ht="71.25">
      <c r="A61" s="8"/>
      <c r="B61" s="9" t="s">
        <v>4</v>
      </c>
      <c r="C61" s="9" t="s">
        <v>5</v>
      </c>
      <c r="D61" s="9" t="s">
        <v>6</v>
      </c>
      <c r="E61" s="9" t="s">
        <v>7</v>
      </c>
      <c r="F61" s="2"/>
    </row>
    <row r="62" spans="1:5" ht="15">
      <c r="A62" s="139" t="s">
        <v>40</v>
      </c>
      <c r="B62" s="139"/>
      <c r="C62" s="139"/>
      <c r="D62" s="12">
        <f>D63</f>
        <v>12.671999999999999</v>
      </c>
      <c r="E62" s="12">
        <f>E63</f>
        <v>0.01</v>
      </c>
    </row>
    <row r="63" spans="1:5" ht="30">
      <c r="A63" s="15">
        <v>1</v>
      </c>
      <c r="B63" s="45" t="s">
        <v>41</v>
      </c>
      <c r="C63" s="45" t="s">
        <v>42</v>
      </c>
      <c r="D63" s="17">
        <f>E63*12*$D$37</f>
        <v>12.671999999999999</v>
      </c>
      <c r="E63" s="46">
        <v>0.01</v>
      </c>
    </row>
    <row r="64" spans="1:5" ht="15">
      <c r="A64" s="139" t="s">
        <v>43</v>
      </c>
      <c r="B64" s="139"/>
      <c r="C64" s="139"/>
      <c r="D64" s="12">
        <f>D65+D66</f>
        <v>101.37599999999999</v>
      </c>
      <c r="E64" s="12">
        <f>E65+E66</f>
        <v>0.08</v>
      </c>
    </row>
    <row r="65" spans="1:5" ht="45">
      <c r="A65" s="15">
        <v>2</v>
      </c>
      <c r="B65" s="45" t="s">
        <v>44</v>
      </c>
      <c r="C65" s="45" t="s">
        <v>45</v>
      </c>
      <c r="D65" s="17">
        <f>E65*12*$D$37</f>
        <v>25.343999999999998</v>
      </c>
      <c r="E65" s="46">
        <v>0.02</v>
      </c>
    </row>
    <row r="66" spans="1:5" ht="15">
      <c r="A66" s="15">
        <v>3</v>
      </c>
      <c r="B66" s="47" t="s">
        <v>46</v>
      </c>
      <c r="C66" s="8" t="s">
        <v>42</v>
      </c>
      <c r="D66" s="17">
        <f>E66*12*$D$37</f>
        <v>76.032</v>
      </c>
      <c r="E66" s="18">
        <v>0.06</v>
      </c>
    </row>
    <row r="67" spans="1:6" ht="15">
      <c r="A67" s="9"/>
      <c r="B67" s="27" t="s">
        <v>27</v>
      </c>
      <c r="C67" s="27"/>
      <c r="D67" s="48">
        <f>D62+D64</f>
        <v>114.04799999999999</v>
      </c>
      <c r="E67" s="12">
        <f>E62+E64</f>
        <v>0.09</v>
      </c>
      <c r="F67" s="6"/>
    </row>
    <row r="68" spans="1:6" ht="15">
      <c r="A68" s="2"/>
      <c r="B68" s="2"/>
      <c r="C68" s="2"/>
      <c r="D68" s="2"/>
      <c r="E68" s="2"/>
      <c r="F68" s="2"/>
    </row>
    <row r="72" spans="2:3" ht="29.25">
      <c r="B72" s="30" t="s">
        <v>113</v>
      </c>
      <c r="C72" s="55">
        <f>C56+C22</f>
        <v>5514.48711031691</v>
      </c>
    </row>
  </sheetData>
  <mergeCells count="17">
    <mergeCell ref="A1:E1"/>
    <mergeCell ref="A5:E5"/>
    <mergeCell ref="A8:C8"/>
    <mergeCell ref="A11:C11"/>
    <mergeCell ref="A14:C14"/>
    <mergeCell ref="A17:C17"/>
    <mergeCell ref="A25:F25"/>
    <mergeCell ref="A28:C28"/>
    <mergeCell ref="A30:C30"/>
    <mergeCell ref="A39:E39"/>
    <mergeCell ref="A42:C42"/>
    <mergeCell ref="A45:C45"/>
    <mergeCell ref="A64:C64"/>
    <mergeCell ref="A48:C48"/>
    <mergeCell ref="A51:C51"/>
    <mergeCell ref="A59:F59"/>
    <mergeCell ref="A62:C6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G42"/>
  <sheetViews>
    <sheetView zoomScale="97" zoomScaleNormal="97" workbookViewId="0" topLeftCell="A19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38" t="s">
        <v>114</v>
      </c>
      <c r="B1" s="138"/>
      <c r="C1" s="138"/>
      <c r="D1" s="138"/>
      <c r="E1" s="138"/>
      <c r="F1" s="2"/>
    </row>
    <row r="2" spans="1:6" ht="15">
      <c r="A2" s="2"/>
      <c r="B2" s="7"/>
      <c r="C2" s="2"/>
      <c r="D2" s="2"/>
      <c r="E2" s="2"/>
      <c r="F2" s="2"/>
    </row>
    <row r="3" spans="1:6" ht="15">
      <c r="A3" s="2"/>
      <c r="B3" s="1" t="s">
        <v>115</v>
      </c>
      <c r="C3" s="4"/>
      <c r="D3" s="5">
        <v>114.3</v>
      </c>
      <c r="E3" s="6" t="s">
        <v>2</v>
      </c>
      <c r="F3" s="2"/>
    </row>
    <row r="4" spans="1:6" ht="15">
      <c r="A4" s="2"/>
      <c r="B4" s="7"/>
      <c r="C4" s="2"/>
      <c r="D4" s="2"/>
      <c r="E4" s="2"/>
      <c r="F4" s="2"/>
    </row>
    <row r="5" spans="1:6" ht="37.5" customHeight="1">
      <c r="A5" s="138" t="s">
        <v>3</v>
      </c>
      <c r="B5" s="138"/>
      <c r="C5" s="138"/>
      <c r="D5" s="138"/>
      <c r="E5" s="138"/>
      <c r="F5" s="2"/>
    </row>
    <row r="6" spans="1:6" ht="15">
      <c r="A6" s="1"/>
      <c r="B6" s="1"/>
      <c r="C6" s="1"/>
      <c r="D6" s="1"/>
      <c r="E6" s="1"/>
      <c r="F6" s="2"/>
    </row>
    <row r="7" spans="1:6" ht="71.25">
      <c r="A7" s="8"/>
      <c r="B7" s="9" t="s">
        <v>4</v>
      </c>
      <c r="C7" s="9" t="s">
        <v>5</v>
      </c>
      <c r="D7" s="9" t="s">
        <v>6</v>
      </c>
      <c r="E7" s="9" t="s">
        <v>7</v>
      </c>
      <c r="F7" s="2"/>
    </row>
    <row r="8" spans="1:7" ht="15">
      <c r="A8" s="140" t="s">
        <v>61</v>
      </c>
      <c r="B8" s="141"/>
      <c r="C8" s="142"/>
      <c r="D8" s="12">
        <f>SUM(D9:D10)</f>
        <v>740.1418411566121</v>
      </c>
      <c r="E8" s="12">
        <f>SUM(E9:E10)</f>
        <v>0.5396193067633509</v>
      </c>
      <c r="F8" s="19"/>
      <c r="G8" s="14"/>
    </row>
    <row r="9" spans="1:7" ht="15">
      <c r="A9" s="15">
        <v>1</v>
      </c>
      <c r="B9" s="8" t="s">
        <v>12</v>
      </c>
      <c r="C9" s="16" t="s">
        <v>13</v>
      </c>
      <c r="D9" s="17">
        <f>E9*$D$3*12</f>
        <v>677.1654539401759</v>
      </c>
      <c r="E9" s="20">
        <v>0.49370476373591127</v>
      </c>
      <c r="F9" s="21"/>
      <c r="G9" s="14"/>
    </row>
    <row r="10" spans="1:7" ht="30">
      <c r="A10" s="15">
        <v>2</v>
      </c>
      <c r="B10" s="22" t="s">
        <v>14</v>
      </c>
      <c r="C10" s="22" t="s">
        <v>15</v>
      </c>
      <c r="D10" s="17">
        <f>E10*$D$3*12</f>
        <v>62.97638721643627</v>
      </c>
      <c r="E10" s="17">
        <v>0.045914543027439685</v>
      </c>
      <c r="F10" s="21"/>
      <c r="G10" s="14"/>
    </row>
    <row r="11" spans="1:7" ht="15">
      <c r="A11" s="140" t="s">
        <v>64</v>
      </c>
      <c r="B11" s="143"/>
      <c r="C11" s="144"/>
      <c r="D11" s="23">
        <f>SUM(D12:D14)</f>
        <v>1342.8575108772202</v>
      </c>
      <c r="E11" s="23">
        <f>SUM(E12:E14)</f>
        <v>0.9790445544453341</v>
      </c>
      <c r="F11" s="21"/>
      <c r="G11" s="14"/>
    </row>
    <row r="12" spans="1:7" ht="18.75" customHeight="1">
      <c r="A12" s="58">
        <v>3</v>
      </c>
      <c r="B12" s="22" t="s">
        <v>17</v>
      </c>
      <c r="C12" s="22" t="s">
        <v>18</v>
      </c>
      <c r="D12" s="17">
        <f>E12*$D$3*12</f>
        <v>47.19022995124929</v>
      </c>
      <c r="E12" s="20">
        <v>0.034405242017533755</v>
      </c>
      <c r="F12" s="21"/>
      <c r="G12" s="14"/>
    </row>
    <row r="13" spans="1:7" ht="32.25" customHeight="1">
      <c r="A13" s="58">
        <v>4</v>
      </c>
      <c r="B13" s="22" t="s">
        <v>105</v>
      </c>
      <c r="C13" s="22" t="s">
        <v>18</v>
      </c>
      <c r="D13" s="17">
        <f>E13*$D$3*12</f>
        <v>128.30330885357859</v>
      </c>
      <c r="E13" s="20">
        <v>0.09354280318866913</v>
      </c>
      <c r="F13" s="21"/>
      <c r="G13" s="14"/>
    </row>
    <row r="14" spans="1:7" ht="90">
      <c r="A14" s="15">
        <v>5</v>
      </c>
      <c r="B14" s="22" t="s">
        <v>106</v>
      </c>
      <c r="C14" s="22" t="s">
        <v>18</v>
      </c>
      <c r="D14" s="17">
        <f>E14*$D$3*12</f>
        <v>1167.3639720723922</v>
      </c>
      <c r="E14" s="17">
        <v>0.8510965092391312</v>
      </c>
      <c r="F14" s="2"/>
      <c r="G14" s="14"/>
    </row>
    <row r="15" spans="1:7" ht="15">
      <c r="A15" s="145" t="s">
        <v>67</v>
      </c>
      <c r="B15" s="146"/>
      <c r="C15" s="146"/>
      <c r="D15" s="24">
        <f>SUM(D16:D17)</f>
        <v>2009.365440389217</v>
      </c>
      <c r="E15" s="24">
        <f>SUM(E16:E17)</f>
        <v>1.4649791778865684</v>
      </c>
      <c r="F15" s="2"/>
      <c r="G15" s="14"/>
    </row>
    <row r="16" spans="1:7" ht="75.75" customHeight="1">
      <c r="A16" s="15">
        <v>5</v>
      </c>
      <c r="B16" s="22" t="s">
        <v>78</v>
      </c>
      <c r="C16" s="22" t="s">
        <v>18</v>
      </c>
      <c r="D16" s="17">
        <f>E16*$D$3*12</f>
        <v>146.8692691355775</v>
      </c>
      <c r="E16" s="17">
        <v>0.10707879056253826</v>
      </c>
      <c r="F16" s="2"/>
      <c r="G16" s="14"/>
    </row>
    <row r="17" spans="1:7" ht="105">
      <c r="A17" s="15">
        <v>6</v>
      </c>
      <c r="B17" s="22" t="s">
        <v>22</v>
      </c>
      <c r="C17" s="22" t="s">
        <v>107</v>
      </c>
      <c r="D17" s="17">
        <f>E17*$D$3*12</f>
        <v>1862.4961712536394</v>
      </c>
      <c r="E17" s="20">
        <v>1.35790038732403</v>
      </c>
      <c r="F17" s="2"/>
      <c r="G17" s="14"/>
    </row>
    <row r="18" spans="1:7" ht="15">
      <c r="A18" s="145" t="s">
        <v>70</v>
      </c>
      <c r="B18" s="145"/>
      <c r="C18" s="145"/>
      <c r="D18" s="25">
        <f>SUM(D19)</f>
        <v>207.7074242467419</v>
      </c>
      <c r="E18" s="25">
        <f>SUM(E19)</f>
        <v>0.151434400879806</v>
      </c>
      <c r="F18" s="2"/>
      <c r="G18" s="14"/>
    </row>
    <row r="19" spans="1:7" ht="15">
      <c r="A19" s="15">
        <v>7</v>
      </c>
      <c r="B19" s="22" t="s">
        <v>25</v>
      </c>
      <c r="C19" s="22" t="s">
        <v>26</v>
      </c>
      <c r="D19" s="17">
        <f>E19*$D$3*12</f>
        <v>207.7074242467419</v>
      </c>
      <c r="E19" s="26">
        <f>0.150734400879806+0.0007</f>
        <v>0.151434400879806</v>
      </c>
      <c r="F19" s="2"/>
      <c r="G19" s="14"/>
    </row>
    <row r="20" spans="1:7" ht="15">
      <c r="A20" s="9"/>
      <c r="B20" s="27" t="s">
        <v>27</v>
      </c>
      <c r="C20" s="27"/>
      <c r="D20" s="48">
        <f>D8+D11+D15+D18</f>
        <v>4300.072216669791</v>
      </c>
      <c r="E20" s="12">
        <f>E18+E15+E11+E8</f>
        <v>3.1350774399750594</v>
      </c>
      <c r="F20" s="6"/>
      <c r="G20" s="14"/>
    </row>
    <row r="21" spans="1:6" ht="15">
      <c r="A21" s="29"/>
      <c r="B21" s="30"/>
      <c r="C21" s="31"/>
      <c r="D21" s="32"/>
      <c r="E21" s="33"/>
      <c r="F21" s="2"/>
    </row>
    <row r="22" spans="1:6" ht="15">
      <c r="A22" s="29"/>
      <c r="B22" s="30"/>
      <c r="C22" s="42"/>
      <c r="D22" s="42"/>
      <c r="E22" s="42"/>
      <c r="F22" s="42"/>
    </row>
    <row r="23" spans="1:6" ht="15">
      <c r="A23" s="29"/>
      <c r="B23" s="30"/>
      <c r="C23" s="42"/>
      <c r="D23" s="42"/>
      <c r="E23" s="42"/>
      <c r="F23" s="42"/>
    </row>
    <row r="24" spans="1:6" ht="29.25">
      <c r="A24" s="29"/>
      <c r="B24" s="30" t="s">
        <v>37</v>
      </c>
      <c r="C24" s="43">
        <f>D20</f>
        <v>4300.072216669791</v>
      </c>
      <c r="D24" s="43"/>
      <c r="E24" s="43"/>
      <c r="F24" s="42"/>
    </row>
    <row r="25" spans="1:6" ht="15">
      <c r="A25" s="29"/>
      <c r="B25" s="30" t="s">
        <v>38</v>
      </c>
      <c r="C25" s="44">
        <f>E20</f>
        <v>3.1350774399750594</v>
      </c>
      <c r="D25" s="42"/>
      <c r="E25" s="42"/>
      <c r="F25" s="42"/>
    </row>
    <row r="26" spans="1:6" ht="76.5" customHeight="1">
      <c r="A26" s="2"/>
      <c r="B26" s="2"/>
      <c r="C26" s="2"/>
      <c r="D26" s="2"/>
      <c r="E26" s="2"/>
      <c r="F26" s="2"/>
    </row>
    <row r="27" spans="1:6" ht="39.75" customHeight="1">
      <c r="A27" s="138" t="s">
        <v>39</v>
      </c>
      <c r="B27" s="138"/>
      <c r="C27" s="138"/>
      <c r="D27" s="138"/>
      <c r="E27" s="138"/>
      <c r="F27" s="138"/>
    </row>
    <row r="28" spans="1:6" ht="15">
      <c r="A28" s="1"/>
      <c r="B28" s="1"/>
      <c r="C28" s="1"/>
      <c r="D28" s="2"/>
      <c r="E28" s="2"/>
      <c r="F28" s="2"/>
    </row>
    <row r="29" spans="1:6" ht="71.25">
      <c r="A29" s="8"/>
      <c r="B29" s="9" t="s">
        <v>4</v>
      </c>
      <c r="C29" s="9" t="s">
        <v>5</v>
      </c>
      <c r="D29" s="9" t="s">
        <v>6</v>
      </c>
      <c r="E29" s="9" t="s">
        <v>7</v>
      </c>
      <c r="F29" s="2"/>
    </row>
    <row r="30" spans="1:5" ht="15">
      <c r="A30" s="139" t="s">
        <v>40</v>
      </c>
      <c r="B30" s="139"/>
      <c r="C30" s="139"/>
      <c r="D30" s="12">
        <f>D31</f>
        <v>13.716</v>
      </c>
      <c r="E30" s="12">
        <f>E31</f>
        <v>0.01</v>
      </c>
    </row>
    <row r="31" spans="1:5" ht="30">
      <c r="A31" s="15">
        <v>1</v>
      </c>
      <c r="B31" s="45" t="s">
        <v>41</v>
      </c>
      <c r="C31" s="45" t="s">
        <v>42</v>
      </c>
      <c r="D31" s="17">
        <f>E31*12*$D$3</f>
        <v>13.716</v>
      </c>
      <c r="E31" s="46">
        <v>0.01</v>
      </c>
    </row>
    <row r="32" spans="1:5" ht="15">
      <c r="A32" s="139" t="s">
        <v>43</v>
      </c>
      <c r="B32" s="139"/>
      <c r="C32" s="139"/>
      <c r="D32" s="12">
        <f>D33+D34</f>
        <v>109.728</v>
      </c>
      <c r="E32" s="12">
        <f>E33+E34</f>
        <v>0.08</v>
      </c>
    </row>
    <row r="33" spans="1:5" ht="45">
      <c r="A33" s="15">
        <v>2</v>
      </c>
      <c r="B33" s="45" t="s">
        <v>44</v>
      </c>
      <c r="C33" s="45" t="s">
        <v>45</v>
      </c>
      <c r="D33" s="17">
        <f>E33*12*$D$3</f>
        <v>27.432</v>
      </c>
      <c r="E33" s="46">
        <v>0.02</v>
      </c>
    </row>
    <row r="34" spans="1:5" ht="15">
      <c r="A34" s="15">
        <v>3</v>
      </c>
      <c r="B34" s="47" t="s">
        <v>46</v>
      </c>
      <c r="C34" s="8" t="s">
        <v>42</v>
      </c>
      <c r="D34" s="17">
        <f>E34*12*$D$3</f>
        <v>82.29599999999999</v>
      </c>
      <c r="E34" s="18">
        <v>0.06</v>
      </c>
    </row>
    <row r="35" spans="1:6" ht="15">
      <c r="A35" s="9"/>
      <c r="B35" s="27" t="s">
        <v>27</v>
      </c>
      <c r="C35" s="27"/>
      <c r="D35" s="48">
        <f>D30+D32</f>
        <v>123.44399999999999</v>
      </c>
      <c r="E35" s="12">
        <f>E30+E32</f>
        <v>0.09</v>
      </c>
      <c r="F35" s="6"/>
    </row>
    <row r="36" spans="1:6" ht="15">
      <c r="A36" s="2"/>
      <c r="B36" s="2"/>
      <c r="C36" s="2"/>
      <c r="D36" s="2"/>
      <c r="E36" s="2"/>
      <c r="F36" s="2"/>
    </row>
    <row r="39" spans="1:6" ht="15">
      <c r="A39" s="2"/>
      <c r="B39" s="2"/>
      <c r="C39" s="2"/>
      <c r="D39" s="2"/>
      <c r="E39" s="2"/>
      <c r="F39" s="2"/>
    </row>
    <row r="42" spans="2:3" ht="29.25">
      <c r="B42" s="30" t="s">
        <v>109</v>
      </c>
      <c r="C42" s="55">
        <f>+C24</f>
        <v>4300.072216669791</v>
      </c>
    </row>
  </sheetData>
  <mergeCells count="9">
    <mergeCell ref="A32:C32"/>
    <mergeCell ref="A15:C15"/>
    <mergeCell ref="A18:C18"/>
    <mergeCell ref="A27:F27"/>
    <mergeCell ref="A30:C30"/>
    <mergeCell ref="A1:E1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G37"/>
  <sheetViews>
    <sheetView zoomScale="97" zoomScaleNormal="97" workbookViewId="0" topLeftCell="A28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38" t="s">
        <v>116</v>
      </c>
      <c r="B1" s="138"/>
      <c r="C1" s="138"/>
      <c r="D1" s="138"/>
      <c r="E1" s="138"/>
      <c r="F1" s="2"/>
    </row>
    <row r="2" spans="1:6" ht="15">
      <c r="A2" s="2"/>
      <c r="B2" s="7"/>
      <c r="C2" s="2"/>
      <c r="D2" s="2"/>
      <c r="E2" s="2"/>
      <c r="F2" s="2"/>
    </row>
    <row r="3" spans="1:6" ht="15">
      <c r="A3" s="2"/>
      <c r="B3" s="1" t="s">
        <v>115</v>
      </c>
      <c r="C3" s="4"/>
      <c r="D3" s="5">
        <v>93.5</v>
      </c>
      <c r="E3" s="6" t="s">
        <v>2</v>
      </c>
      <c r="F3" s="2"/>
    </row>
    <row r="4" spans="1:6" ht="15">
      <c r="A4" s="2"/>
      <c r="B4" s="7"/>
      <c r="C4" s="2"/>
      <c r="D4" s="2"/>
      <c r="E4" s="2"/>
      <c r="F4" s="2"/>
    </row>
    <row r="5" spans="1:6" ht="37.5" customHeight="1">
      <c r="A5" s="138" t="s">
        <v>3</v>
      </c>
      <c r="B5" s="138"/>
      <c r="C5" s="138"/>
      <c r="D5" s="138"/>
      <c r="E5" s="138"/>
      <c r="F5" s="2"/>
    </row>
    <row r="6" spans="1:6" ht="15">
      <c r="A6" s="1"/>
      <c r="B6" s="1"/>
      <c r="C6" s="1"/>
      <c r="D6" s="1"/>
      <c r="E6" s="1"/>
      <c r="F6" s="2"/>
    </row>
    <row r="7" spans="1:6" ht="71.25">
      <c r="A7" s="8"/>
      <c r="B7" s="9" t="s">
        <v>4</v>
      </c>
      <c r="C7" s="9" t="s">
        <v>5</v>
      </c>
      <c r="D7" s="9" t="s">
        <v>6</v>
      </c>
      <c r="E7" s="9" t="s">
        <v>7</v>
      </c>
      <c r="F7" s="2"/>
    </row>
    <row r="8" spans="1:7" ht="15">
      <c r="A8" s="140" t="s">
        <v>61</v>
      </c>
      <c r="B8" s="141"/>
      <c r="C8" s="142"/>
      <c r="D8" s="12">
        <f>SUM(D9:D10)</f>
        <v>740.1418411566123</v>
      </c>
      <c r="E8" s="12">
        <f>SUM(E9:E10)</f>
        <v>0.6596629600326313</v>
      </c>
      <c r="F8" s="19"/>
      <c r="G8" s="14"/>
    </row>
    <row r="9" spans="1:7" ht="15">
      <c r="A9" s="15">
        <v>1</v>
      </c>
      <c r="B9" s="8" t="s">
        <v>12</v>
      </c>
      <c r="C9" s="16" t="s">
        <v>13</v>
      </c>
      <c r="D9" s="17">
        <f>E9*$D$3*12</f>
        <v>677.1654539401759</v>
      </c>
      <c r="E9" s="20">
        <v>0.6035342726739535</v>
      </c>
      <c r="F9" s="21"/>
      <c r="G9" s="14"/>
    </row>
    <row r="10" spans="1:7" ht="30">
      <c r="A10" s="15">
        <v>2</v>
      </c>
      <c r="B10" s="22" t="s">
        <v>14</v>
      </c>
      <c r="C10" s="22" t="s">
        <v>15</v>
      </c>
      <c r="D10" s="17">
        <f>E10*$D$3*12</f>
        <v>62.97638721643635</v>
      </c>
      <c r="E10" s="17">
        <v>0.056128687358677674</v>
      </c>
      <c r="F10" s="21"/>
      <c r="G10" s="14"/>
    </row>
    <row r="11" spans="1:7" ht="15">
      <c r="A11" s="140" t="s">
        <v>64</v>
      </c>
      <c r="B11" s="143"/>
      <c r="C11" s="144"/>
      <c r="D11" s="23">
        <f>SUM(D12:D14)</f>
        <v>1288.5756272073254</v>
      </c>
      <c r="E11" s="23">
        <f>SUM(E12:E14)</f>
        <v>1.1484631258532314</v>
      </c>
      <c r="F11" s="21"/>
      <c r="G11" s="14"/>
    </row>
    <row r="12" spans="1:7" ht="18.75" customHeight="1">
      <c r="A12" s="58">
        <v>3</v>
      </c>
      <c r="B12" s="22" t="s">
        <v>17</v>
      </c>
      <c r="C12" s="22" t="s">
        <v>18</v>
      </c>
      <c r="D12" s="17">
        <f>E12*$D$3*12</f>
        <v>47.190229951249215</v>
      </c>
      <c r="E12" s="20">
        <v>0.04205902847704921</v>
      </c>
      <c r="F12" s="21"/>
      <c r="G12" s="14"/>
    </row>
    <row r="13" spans="1:7" ht="32.25" customHeight="1">
      <c r="A13" s="58">
        <v>4</v>
      </c>
      <c r="B13" s="22" t="s">
        <v>105</v>
      </c>
      <c r="C13" s="22" t="s">
        <v>18</v>
      </c>
      <c r="D13" s="17">
        <f>E13*$D$3*12</f>
        <v>128.3033088535787</v>
      </c>
      <c r="E13" s="20">
        <v>0.1143523251814427</v>
      </c>
      <c r="F13" s="21"/>
      <c r="G13" s="14"/>
    </row>
    <row r="14" spans="1:7" ht="90">
      <c r="A14" s="15">
        <v>5</v>
      </c>
      <c r="B14" s="22" t="s">
        <v>106</v>
      </c>
      <c r="C14" s="22" t="s">
        <v>18</v>
      </c>
      <c r="D14" s="17">
        <f>E14*$D$3*12</f>
        <v>1113.0820884024974</v>
      </c>
      <c r="E14" s="17">
        <v>0.9920517721947394</v>
      </c>
      <c r="F14" s="2"/>
      <c r="G14" s="14"/>
    </row>
    <row r="15" spans="1:7" ht="15">
      <c r="A15" s="145" t="s">
        <v>67</v>
      </c>
      <c r="B15" s="146"/>
      <c r="C15" s="146"/>
      <c r="D15" s="24">
        <f>SUM(D16:D17)</f>
        <v>1878.1857660825333</v>
      </c>
      <c r="E15" s="24">
        <f>SUM(E16:E17)</f>
        <v>1.6739623583623293</v>
      </c>
      <c r="F15" s="2"/>
      <c r="G15" s="14"/>
    </row>
    <row r="16" spans="1:7" ht="75.75" customHeight="1">
      <c r="A16" s="15">
        <v>5</v>
      </c>
      <c r="B16" s="22" t="s">
        <v>78</v>
      </c>
      <c r="C16" s="22" t="s">
        <v>18</v>
      </c>
      <c r="D16" s="17">
        <f>E16*$D$3*12</f>
        <v>140.15722480923364</v>
      </c>
      <c r="E16" s="17">
        <v>0.12491731266420111</v>
      </c>
      <c r="F16" s="2"/>
      <c r="G16" s="14"/>
    </row>
    <row r="17" spans="1:7" ht="105">
      <c r="A17" s="15">
        <v>6</v>
      </c>
      <c r="B17" s="22" t="s">
        <v>22</v>
      </c>
      <c r="C17" s="22" t="s">
        <v>107</v>
      </c>
      <c r="D17" s="17">
        <f>E17*$D$3*12</f>
        <v>1738.0285412732997</v>
      </c>
      <c r="E17" s="20">
        <v>1.5490450456981282</v>
      </c>
      <c r="F17" s="2"/>
      <c r="G17" s="14"/>
    </row>
    <row r="18" spans="1:7" ht="15">
      <c r="A18" s="145" t="s">
        <v>70</v>
      </c>
      <c r="B18" s="145"/>
      <c r="C18" s="145"/>
      <c r="D18" s="25">
        <f>SUM(D19)</f>
        <v>214.94272505436808</v>
      </c>
      <c r="E18" s="25">
        <f>SUM(E19)</f>
        <v>0.191571056198189</v>
      </c>
      <c r="F18" s="2"/>
      <c r="G18" s="14"/>
    </row>
    <row r="19" spans="1:7" ht="15">
      <c r="A19" s="15">
        <v>7</v>
      </c>
      <c r="B19" s="22" t="s">
        <v>25</v>
      </c>
      <c r="C19" s="22" t="s">
        <v>26</v>
      </c>
      <c r="D19" s="17">
        <f>E19*$D$3*12</f>
        <v>214.94272505436808</v>
      </c>
      <c r="E19" s="20">
        <f>0.182461056198189+0.01-0.00089</f>
        <v>0.191571056198189</v>
      </c>
      <c r="F19" s="2"/>
      <c r="G19" s="14"/>
    </row>
    <row r="20" spans="1:7" ht="15">
      <c r="A20" s="9"/>
      <c r="B20" s="27" t="s">
        <v>27</v>
      </c>
      <c r="C20" s="27"/>
      <c r="D20" s="48">
        <f>D8+D11+D15+D18</f>
        <v>4121.845959500839</v>
      </c>
      <c r="E20" s="12">
        <f>E18+E15+E11+E8</f>
        <v>3.673659500446381</v>
      </c>
      <c r="F20" s="6"/>
      <c r="G20" s="14"/>
    </row>
    <row r="21" spans="1:6" ht="15">
      <c r="A21" s="29"/>
      <c r="B21" s="30"/>
      <c r="C21" s="31"/>
      <c r="D21" s="32"/>
      <c r="E21" s="33"/>
      <c r="F21" s="2"/>
    </row>
    <row r="22" spans="1:6" ht="15">
      <c r="A22" s="29"/>
      <c r="B22" s="30"/>
      <c r="C22" s="42"/>
      <c r="D22" s="42"/>
      <c r="E22" s="42"/>
      <c r="F22" s="42"/>
    </row>
    <row r="23" spans="1:6" ht="29.25">
      <c r="A23" s="29"/>
      <c r="B23" s="30" t="s">
        <v>37</v>
      </c>
      <c r="C23" s="43">
        <f>D20</f>
        <v>4121.845959500839</v>
      </c>
      <c r="D23" s="43"/>
      <c r="E23" s="43"/>
      <c r="F23" s="42"/>
    </row>
    <row r="24" spans="1:6" ht="15">
      <c r="A24" s="29"/>
      <c r="B24" s="30" t="s">
        <v>38</v>
      </c>
      <c r="C24" s="44">
        <f>E20</f>
        <v>3.673659500446381</v>
      </c>
      <c r="D24" s="42"/>
      <c r="E24" s="42"/>
      <c r="F24" s="42"/>
    </row>
    <row r="25" spans="1:6" ht="90" customHeight="1">
      <c r="A25" s="2"/>
      <c r="B25" s="2"/>
      <c r="C25" s="2"/>
      <c r="D25" s="2"/>
      <c r="E25" s="2"/>
      <c r="F25" s="2"/>
    </row>
    <row r="26" spans="1:6" ht="39.75" customHeight="1">
      <c r="A26" s="138" t="s">
        <v>39</v>
      </c>
      <c r="B26" s="138"/>
      <c r="C26" s="138"/>
      <c r="D26" s="138"/>
      <c r="E26" s="138"/>
      <c r="F26" s="138"/>
    </row>
    <row r="27" spans="1:6" ht="15">
      <c r="A27" s="1"/>
      <c r="B27" s="1"/>
      <c r="C27" s="1"/>
      <c r="D27" s="2"/>
      <c r="E27" s="2"/>
      <c r="F27" s="2"/>
    </row>
    <row r="28" spans="1:6" ht="71.25">
      <c r="A28" s="8"/>
      <c r="B28" s="9" t="s">
        <v>4</v>
      </c>
      <c r="C28" s="9" t="s">
        <v>5</v>
      </c>
      <c r="D28" s="9" t="s">
        <v>6</v>
      </c>
      <c r="E28" s="9" t="s">
        <v>7</v>
      </c>
      <c r="F28" s="2"/>
    </row>
    <row r="29" spans="1:5" ht="15">
      <c r="A29" s="139" t="s">
        <v>40</v>
      </c>
      <c r="B29" s="139"/>
      <c r="C29" s="139"/>
      <c r="D29" s="12">
        <f>D30</f>
        <v>11.219999999999999</v>
      </c>
      <c r="E29" s="12">
        <f>E30</f>
        <v>0.01</v>
      </c>
    </row>
    <row r="30" spans="1:5" ht="30">
      <c r="A30" s="15">
        <v>1</v>
      </c>
      <c r="B30" s="45" t="s">
        <v>41</v>
      </c>
      <c r="C30" s="45" t="s">
        <v>42</v>
      </c>
      <c r="D30" s="17">
        <f>E30*12*$D$3</f>
        <v>11.219999999999999</v>
      </c>
      <c r="E30" s="46">
        <v>0.01</v>
      </c>
    </row>
    <row r="31" spans="1:5" ht="15">
      <c r="A31" s="139" t="s">
        <v>43</v>
      </c>
      <c r="B31" s="139"/>
      <c r="C31" s="139"/>
      <c r="D31" s="12">
        <f>D32+D33</f>
        <v>89.75999999999999</v>
      </c>
      <c r="E31" s="12">
        <f>E32+E33</f>
        <v>0.08</v>
      </c>
    </row>
    <row r="32" spans="1:5" ht="45">
      <c r="A32" s="15">
        <v>2</v>
      </c>
      <c r="B32" s="45" t="s">
        <v>44</v>
      </c>
      <c r="C32" s="45" t="s">
        <v>45</v>
      </c>
      <c r="D32" s="17">
        <f>E32*12*$D$3</f>
        <v>22.439999999999998</v>
      </c>
      <c r="E32" s="46">
        <v>0.02</v>
      </c>
    </row>
    <row r="33" spans="1:5" ht="15">
      <c r="A33" s="15">
        <v>3</v>
      </c>
      <c r="B33" s="47" t="s">
        <v>46</v>
      </c>
      <c r="C33" s="8" t="s">
        <v>42</v>
      </c>
      <c r="D33" s="17">
        <f>E33*12*$D$3</f>
        <v>67.32</v>
      </c>
      <c r="E33" s="18">
        <v>0.06</v>
      </c>
    </row>
    <row r="34" spans="1:6" ht="15">
      <c r="A34" s="9"/>
      <c r="B34" s="27" t="s">
        <v>27</v>
      </c>
      <c r="C34" s="27"/>
      <c r="D34" s="48">
        <f>D29+D31</f>
        <v>100.97999999999999</v>
      </c>
      <c r="E34" s="12">
        <f>E29+E31</f>
        <v>0.09</v>
      </c>
      <c r="F34" s="6"/>
    </row>
    <row r="35" spans="1:6" ht="15">
      <c r="A35" s="2"/>
      <c r="B35" s="2"/>
      <c r="C35" s="2"/>
      <c r="D35" s="2"/>
      <c r="E35" s="2"/>
      <c r="F35" s="2"/>
    </row>
    <row r="37" spans="2:3" ht="29.25">
      <c r="B37" s="30" t="s">
        <v>117</v>
      </c>
      <c r="C37" s="55">
        <f>+C23</f>
        <v>4121.845959500839</v>
      </c>
    </row>
  </sheetData>
  <mergeCells count="9">
    <mergeCell ref="A1:E1"/>
    <mergeCell ref="A5:E5"/>
    <mergeCell ref="A8:C8"/>
    <mergeCell ref="A11:C11"/>
    <mergeCell ref="A31:C31"/>
    <mergeCell ref="A15:C15"/>
    <mergeCell ref="A18:C18"/>
    <mergeCell ref="A26:F26"/>
    <mergeCell ref="A29:C2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G37"/>
  <sheetViews>
    <sheetView zoomScale="97" zoomScaleNormal="97" workbookViewId="0" topLeftCell="A10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38" t="s">
        <v>118</v>
      </c>
      <c r="B1" s="138"/>
      <c r="C1" s="138"/>
      <c r="D1" s="138"/>
      <c r="E1" s="138"/>
      <c r="F1" s="2"/>
    </row>
    <row r="2" spans="1:6" ht="39" customHeight="1">
      <c r="A2" s="2"/>
      <c r="B2" s="1" t="s">
        <v>119</v>
      </c>
      <c r="C2" s="4"/>
      <c r="D2" s="5">
        <v>80.6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7" ht="15">
      <c r="A7" s="140" t="s">
        <v>61</v>
      </c>
      <c r="B7" s="141"/>
      <c r="C7" s="142"/>
      <c r="D7" s="12">
        <f>SUM(D8:D9)</f>
        <v>444.0851046939672</v>
      </c>
      <c r="E7" s="12">
        <f>SUM(E8:E9)</f>
        <v>0.4591450627522407</v>
      </c>
      <c r="F7" s="19"/>
      <c r="G7" s="14"/>
    </row>
    <row r="8" spans="1:7" ht="15.75" customHeight="1">
      <c r="A8" s="15" t="s">
        <v>62</v>
      </c>
      <c r="B8" s="8" t="s">
        <v>12</v>
      </c>
      <c r="C8" s="16" t="s">
        <v>13</v>
      </c>
      <c r="D8" s="17">
        <f>E8*$D$2*12</f>
        <v>406.29927236410543</v>
      </c>
      <c r="E8" s="20">
        <v>0.4200778250249229</v>
      </c>
      <c r="F8" s="21"/>
      <c r="G8" s="14"/>
    </row>
    <row r="9" spans="1:7" ht="30">
      <c r="A9" s="15" t="s">
        <v>63</v>
      </c>
      <c r="B9" s="22" t="s">
        <v>14</v>
      </c>
      <c r="C9" s="22" t="s">
        <v>15</v>
      </c>
      <c r="D9" s="17">
        <f>E9*$D$2*12</f>
        <v>37.785832329861776</v>
      </c>
      <c r="E9" s="17">
        <v>0.0390672377273178</v>
      </c>
      <c r="F9" s="21"/>
      <c r="G9" s="14"/>
    </row>
    <row r="10" spans="1:7" ht="15">
      <c r="A10" s="140" t="s">
        <v>64</v>
      </c>
      <c r="B10" s="143"/>
      <c r="C10" s="144"/>
      <c r="D10" s="23">
        <f>SUM(D11:D12)</f>
        <v>85.67563517824217</v>
      </c>
      <c r="E10" s="23">
        <f>SUM(E11:E12)</f>
        <v>0.08858109509743814</v>
      </c>
      <c r="F10" s="21"/>
      <c r="G10" s="14"/>
    </row>
    <row r="11" spans="1:7" ht="15.75" customHeight="1">
      <c r="A11" s="15" t="s">
        <v>65</v>
      </c>
      <c r="B11" s="22" t="s">
        <v>17</v>
      </c>
      <c r="C11" s="22" t="s">
        <v>18</v>
      </c>
      <c r="D11" s="17">
        <f>E11*12*$D$2</f>
        <v>47.19022995124926</v>
      </c>
      <c r="E11" s="18">
        <v>0.04879056033007574</v>
      </c>
      <c r="F11" s="13"/>
      <c r="G11" s="14"/>
    </row>
    <row r="12" spans="1:7" ht="60">
      <c r="A12" s="15" t="s">
        <v>66</v>
      </c>
      <c r="B12" s="22" t="s">
        <v>19</v>
      </c>
      <c r="C12" s="22" t="s">
        <v>18</v>
      </c>
      <c r="D12" s="17">
        <f>E12*12*$D$2</f>
        <v>38.48540522699291</v>
      </c>
      <c r="E12" s="17">
        <v>0.0397905347673624</v>
      </c>
      <c r="F12" s="2"/>
      <c r="G12" s="14"/>
    </row>
    <row r="13" spans="1:7" ht="15">
      <c r="A13" s="145" t="s">
        <v>67</v>
      </c>
      <c r="B13" s="146"/>
      <c r="C13" s="146"/>
      <c r="D13" s="24">
        <f>SUM(D14:D15)</f>
        <v>1894.338479714568</v>
      </c>
      <c r="E13" s="24">
        <f>SUM(E14:E15)</f>
        <v>1.9585799004493052</v>
      </c>
      <c r="F13" s="2"/>
      <c r="G13" s="14"/>
    </row>
    <row r="14" spans="1:7" ht="60">
      <c r="A14" s="15" t="s">
        <v>68</v>
      </c>
      <c r="B14" s="22" t="s">
        <v>21</v>
      </c>
      <c r="C14" s="22" t="s">
        <v>18</v>
      </c>
      <c r="D14" s="17">
        <f>E14*12*$D$2</f>
        <v>109.98529478456128</v>
      </c>
      <c r="E14" s="17">
        <v>0.11371515176236692</v>
      </c>
      <c r="F14" s="2"/>
      <c r="G14" s="14"/>
    </row>
    <row r="15" spans="1:7" ht="75">
      <c r="A15" s="15" t="s">
        <v>69</v>
      </c>
      <c r="B15" s="22" t="s">
        <v>22</v>
      </c>
      <c r="C15" s="22" t="s">
        <v>23</v>
      </c>
      <c r="D15" s="17">
        <f>E15*12*$D$2</f>
        <v>1784.3531849300066</v>
      </c>
      <c r="E15" s="20">
        <v>1.8448647486869383</v>
      </c>
      <c r="F15" s="2"/>
      <c r="G15" s="14"/>
    </row>
    <row r="16" spans="1:7" ht="15">
      <c r="A16" s="145" t="s">
        <v>70</v>
      </c>
      <c r="B16" s="145"/>
      <c r="C16" s="145"/>
      <c r="D16" s="25">
        <f>SUM(D17)</f>
        <v>188.14462594243105</v>
      </c>
      <c r="E16" s="25">
        <f>E17</f>
        <v>0.19452504750044566</v>
      </c>
      <c r="F16" s="2"/>
      <c r="G16" s="14"/>
    </row>
    <row r="17" spans="1:7" ht="15">
      <c r="A17" s="15" t="s">
        <v>71</v>
      </c>
      <c r="B17" s="22" t="s">
        <v>25</v>
      </c>
      <c r="C17" s="22" t="s">
        <v>26</v>
      </c>
      <c r="D17" s="17">
        <f>E17*12*$D$2</f>
        <v>188.14462594243105</v>
      </c>
      <c r="E17" s="26">
        <v>0.19452504750044566</v>
      </c>
      <c r="F17" s="2"/>
      <c r="G17" s="14"/>
    </row>
    <row r="18" spans="1:7" ht="15">
      <c r="A18" s="9"/>
      <c r="B18" s="27" t="s">
        <v>27</v>
      </c>
      <c r="C18" s="27"/>
      <c r="D18" s="48">
        <f>+D7+D10+D13+D16</f>
        <v>2612.2438455292086</v>
      </c>
      <c r="E18" s="12">
        <f>+E7+E10+E13+E16</f>
        <v>2.7008311057994296</v>
      </c>
      <c r="F18" s="6"/>
      <c r="G18" s="14"/>
    </row>
    <row r="19" spans="1:6" ht="15">
      <c r="A19" s="29"/>
      <c r="B19" s="30"/>
      <c r="C19" s="31"/>
      <c r="D19" s="32"/>
      <c r="E19" s="33"/>
      <c r="F19" s="2"/>
    </row>
    <row r="20" spans="1:7" ht="15">
      <c r="A20" s="30"/>
      <c r="B20" s="30"/>
      <c r="C20" s="30"/>
      <c r="D20" s="30"/>
      <c r="E20" s="30"/>
      <c r="F20" s="29"/>
      <c r="G20" s="56"/>
    </row>
    <row r="21" spans="1:7" ht="15">
      <c r="A21" s="29"/>
      <c r="B21" s="30"/>
      <c r="C21" s="42"/>
      <c r="D21" s="42"/>
      <c r="E21" s="42"/>
      <c r="F21" s="42"/>
      <c r="G21" s="56"/>
    </row>
    <row r="22" spans="1:6" ht="29.25">
      <c r="A22" s="29"/>
      <c r="B22" s="30" t="s">
        <v>37</v>
      </c>
      <c r="C22" s="43">
        <f>D18</f>
        <v>2612.2438455292086</v>
      </c>
      <c r="D22" s="43"/>
      <c r="E22" s="43"/>
      <c r="F22" s="42"/>
    </row>
    <row r="23" spans="1:6" ht="15">
      <c r="A23" s="29"/>
      <c r="B23" s="30" t="s">
        <v>38</v>
      </c>
      <c r="C23" s="44">
        <f>E18</f>
        <v>2.7008311057994296</v>
      </c>
      <c r="D23" s="42"/>
      <c r="E23" s="42"/>
      <c r="F23" s="42"/>
    </row>
    <row r="24" spans="1:6" ht="15">
      <c r="A24" s="2"/>
      <c r="B24" s="2"/>
      <c r="C24" s="2"/>
      <c r="D24" s="2"/>
      <c r="E24" s="2"/>
      <c r="F24" s="2"/>
    </row>
    <row r="25" spans="1:6" ht="33" customHeight="1">
      <c r="A25" s="138" t="s">
        <v>39</v>
      </c>
      <c r="B25" s="138"/>
      <c r="C25" s="138"/>
      <c r="D25" s="138"/>
      <c r="E25" s="138"/>
      <c r="F25" s="138"/>
    </row>
    <row r="26" spans="1:6" ht="15">
      <c r="A26" s="1"/>
      <c r="B26" s="1"/>
      <c r="C26" s="1"/>
      <c r="D26" s="2"/>
      <c r="E26" s="2"/>
      <c r="F26" s="2"/>
    </row>
    <row r="27" spans="1:6" ht="71.25">
      <c r="A27" s="8"/>
      <c r="B27" s="9" t="s">
        <v>4</v>
      </c>
      <c r="C27" s="9" t="s">
        <v>5</v>
      </c>
      <c r="D27" s="9" t="s">
        <v>6</v>
      </c>
      <c r="E27" s="9" t="s">
        <v>7</v>
      </c>
      <c r="F27" s="2"/>
    </row>
    <row r="28" spans="1:5" ht="31.5" customHeight="1">
      <c r="A28" s="139" t="s">
        <v>40</v>
      </c>
      <c r="B28" s="139"/>
      <c r="C28" s="139"/>
      <c r="D28" s="12">
        <f>D29</f>
        <v>9.671999999999999</v>
      </c>
      <c r="E28" s="12">
        <f>E29</f>
        <v>0.01</v>
      </c>
    </row>
    <row r="29" spans="1:5" ht="30">
      <c r="A29" s="15">
        <v>1</v>
      </c>
      <c r="B29" s="45" t="s">
        <v>41</v>
      </c>
      <c r="C29" s="45" t="s">
        <v>42</v>
      </c>
      <c r="D29" s="17">
        <f>E29*12*$D$2</f>
        <v>9.671999999999999</v>
      </c>
      <c r="E29" s="46">
        <v>0.01</v>
      </c>
    </row>
    <row r="30" spans="1:5" ht="32.25" customHeight="1">
      <c r="A30" s="139" t="s">
        <v>43</v>
      </c>
      <c r="B30" s="139"/>
      <c r="C30" s="139"/>
      <c r="D30" s="12">
        <f>D31+D32</f>
        <v>77.37599999999999</v>
      </c>
      <c r="E30" s="12">
        <f>E31+E32</f>
        <v>0.08</v>
      </c>
    </row>
    <row r="31" spans="1:5" ht="44.25" customHeight="1">
      <c r="A31" s="15">
        <v>2</v>
      </c>
      <c r="B31" s="45" t="s">
        <v>44</v>
      </c>
      <c r="C31" s="45" t="s">
        <v>45</v>
      </c>
      <c r="D31" s="17">
        <f>E31*$D$2*12</f>
        <v>19.343999999999998</v>
      </c>
      <c r="E31" s="46">
        <v>0.02</v>
      </c>
    </row>
    <row r="32" spans="1:5" ht="15">
      <c r="A32" s="15">
        <v>3</v>
      </c>
      <c r="B32" s="47" t="s">
        <v>46</v>
      </c>
      <c r="C32" s="8" t="s">
        <v>42</v>
      </c>
      <c r="D32" s="17">
        <f>E32*$D$2*12</f>
        <v>58.032</v>
      </c>
      <c r="E32" s="18">
        <v>0.06</v>
      </c>
    </row>
    <row r="33" spans="1:6" ht="15">
      <c r="A33" s="9"/>
      <c r="B33" s="27" t="s">
        <v>27</v>
      </c>
      <c r="C33" s="27"/>
      <c r="D33" s="48">
        <f>D28+D30</f>
        <v>87.04799999999999</v>
      </c>
      <c r="E33" s="12">
        <f>E28+E30</f>
        <v>0.09</v>
      </c>
      <c r="F33" s="6"/>
    </row>
    <row r="34" spans="1:6" ht="15">
      <c r="A34" s="2"/>
      <c r="B34" s="2"/>
      <c r="C34" s="2"/>
      <c r="D34" s="2"/>
      <c r="E34" s="2"/>
      <c r="F34" s="2"/>
    </row>
    <row r="35" spans="1:6" ht="15">
      <c r="A35" s="30"/>
      <c r="B35" s="30"/>
      <c r="C35" s="30"/>
      <c r="D35" s="30"/>
      <c r="E35" s="30"/>
      <c r="F35" s="29"/>
    </row>
    <row r="36" spans="1:6" ht="15">
      <c r="A36" s="56"/>
      <c r="B36" s="56"/>
      <c r="C36" s="56"/>
      <c r="D36" s="56"/>
      <c r="E36" s="56"/>
      <c r="F36" s="56"/>
    </row>
    <row r="37" spans="2:3" ht="29.25">
      <c r="B37" s="30" t="s">
        <v>120</v>
      </c>
      <c r="C37" s="55">
        <f>C22</f>
        <v>2612.2438455292086</v>
      </c>
    </row>
  </sheetData>
  <mergeCells count="9">
    <mergeCell ref="A7:C7"/>
    <mergeCell ref="A13:C13"/>
    <mergeCell ref="A10:C10"/>
    <mergeCell ref="A1:E1"/>
    <mergeCell ref="A4:E4"/>
    <mergeCell ref="A30:C30"/>
    <mergeCell ref="A16:C16"/>
    <mergeCell ref="A25:F25"/>
    <mergeCell ref="A28:C2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F42"/>
  <sheetViews>
    <sheetView zoomScale="97" zoomScaleNormal="97" workbookViewId="0" topLeftCell="A7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7" width="9.125" style="78" customWidth="1"/>
    <col min="8" max="16384" width="9.125" style="3" customWidth="1"/>
  </cols>
  <sheetData>
    <row r="1" spans="1:6" ht="15" customHeight="1">
      <c r="A1" s="138" t="s">
        <v>126</v>
      </c>
      <c r="B1" s="138"/>
      <c r="C1" s="138"/>
      <c r="D1" s="138"/>
      <c r="E1" s="138"/>
      <c r="F1" s="2"/>
    </row>
    <row r="2" spans="1:6" ht="39" customHeight="1">
      <c r="A2" s="2"/>
      <c r="B2" s="1" t="s">
        <v>127</v>
      </c>
      <c r="C2" s="4"/>
      <c r="D2" s="5">
        <v>95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1184.2269458505784</v>
      </c>
      <c r="E7" s="12">
        <f>SUM(E8:E9)</f>
        <v>1.038795566535595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1083.4647263042802</v>
      </c>
      <c r="E8" s="20">
        <v>0.9504076546528774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100.76221954629807</v>
      </c>
      <c r="E9" s="17">
        <v>0.0883879118827176</v>
      </c>
      <c r="F9" s="21"/>
    </row>
    <row r="10" spans="1:6" ht="15">
      <c r="A10" s="140" t="s">
        <v>64</v>
      </c>
      <c r="B10" s="143"/>
      <c r="C10" s="144"/>
      <c r="D10" s="23">
        <f>SUM(D11:D12)</f>
        <v>85.67563517824203</v>
      </c>
      <c r="E10" s="23">
        <f>SUM(E11:E12)</f>
        <v>0.07515406594582634</v>
      </c>
      <c r="F10" s="21"/>
    </row>
    <row r="11" spans="1:6" ht="15.75" customHeight="1">
      <c r="A11" s="15">
        <v>3</v>
      </c>
      <c r="B11" s="22" t="s">
        <v>17</v>
      </c>
      <c r="C11" s="22" t="s">
        <v>18</v>
      </c>
      <c r="D11" s="17">
        <f>E11*12*$D$2</f>
        <v>47.19022995124915</v>
      </c>
      <c r="E11" s="18">
        <v>0.04139493855372733</v>
      </c>
      <c r="F11" s="13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38.485405226992874</v>
      </c>
      <c r="E12" s="17">
        <v>0.03375912739209901</v>
      </c>
      <c r="F12" s="2"/>
    </row>
    <row r="13" spans="1:6" ht="15">
      <c r="A13" s="145" t="s">
        <v>67</v>
      </c>
      <c r="B13" s="146"/>
      <c r="C13" s="146"/>
      <c r="D13" s="24">
        <f>SUM(D14:D15)</f>
        <v>308.48062991822593</v>
      </c>
      <c r="E13" s="24">
        <f>SUM(E14:E15)</f>
        <v>0.27059704378791744</v>
      </c>
      <c r="F13" s="2"/>
    </row>
    <row r="14" spans="1:6" ht="60">
      <c r="A14" s="15">
        <v>5</v>
      </c>
      <c r="B14" s="22" t="s">
        <v>86</v>
      </c>
      <c r="C14" s="22" t="s">
        <v>18</v>
      </c>
      <c r="D14" s="17">
        <f>E14*12*$D$2</f>
        <v>13.176963154597571</v>
      </c>
      <c r="E14" s="17">
        <v>0.011558739609296114</v>
      </c>
      <c r="F14" s="2"/>
    </row>
    <row r="15" spans="1:6" ht="60">
      <c r="A15" s="15">
        <v>6</v>
      </c>
      <c r="B15" s="22" t="s">
        <v>22</v>
      </c>
      <c r="C15" s="22" t="s">
        <v>87</v>
      </c>
      <c r="D15" s="17">
        <f>E15*12*$D$2</f>
        <v>295.30366676362837</v>
      </c>
      <c r="E15" s="20">
        <v>0.25903830417862134</v>
      </c>
      <c r="F15" s="2"/>
    </row>
    <row r="16" spans="1:6" ht="15">
      <c r="A16" s="145" t="s">
        <v>70</v>
      </c>
      <c r="B16" s="145"/>
      <c r="C16" s="145"/>
      <c r="D16" s="25">
        <f>SUM(D17)</f>
        <v>177.22018646221878</v>
      </c>
      <c r="E16" s="25">
        <f>SUM(E17)</f>
        <v>0.155456303914227</v>
      </c>
      <c r="F16" s="2"/>
    </row>
    <row r="17" spans="1:6" ht="15">
      <c r="A17" s="15">
        <v>7</v>
      </c>
      <c r="B17" s="22" t="s">
        <v>25</v>
      </c>
      <c r="C17" s="22" t="s">
        <v>26</v>
      </c>
      <c r="D17" s="17">
        <f>E17*12*$D$2</f>
        <v>177.22018646221878</v>
      </c>
      <c r="E17" s="26">
        <v>0.155456303914227</v>
      </c>
      <c r="F17" s="2"/>
    </row>
    <row r="18" spans="1:6" ht="15">
      <c r="A18" s="9"/>
      <c r="B18" s="27" t="s">
        <v>27</v>
      </c>
      <c r="C18" s="27"/>
      <c r="D18" s="48">
        <f>D7+D10+D13+D16</f>
        <v>1755.6033974092652</v>
      </c>
      <c r="E18" s="12">
        <f>E7+E10+E13+E16</f>
        <v>1.5400029801835657</v>
      </c>
      <c r="F18" s="6"/>
    </row>
    <row r="19" spans="1:6" ht="15">
      <c r="A19" s="29"/>
      <c r="B19" s="30"/>
      <c r="C19" s="31"/>
      <c r="D19" s="32"/>
      <c r="E19" s="33"/>
      <c r="F19" s="2"/>
    </row>
    <row r="20" spans="1:6" ht="15">
      <c r="A20" s="29"/>
      <c r="B20" s="30"/>
      <c r="C20" s="31"/>
      <c r="D20" s="32"/>
      <c r="E20" s="33"/>
      <c r="F20" s="2"/>
    </row>
    <row r="21" spans="1:6" ht="29.25">
      <c r="A21" s="29"/>
      <c r="B21" s="30" t="s">
        <v>37</v>
      </c>
      <c r="C21" s="43">
        <f>D18</f>
        <v>1755.6033974092652</v>
      </c>
      <c r="D21" s="43"/>
      <c r="E21" s="43"/>
      <c r="F21" s="42"/>
    </row>
    <row r="22" spans="1:6" ht="15">
      <c r="A22" s="29"/>
      <c r="B22" s="30" t="s">
        <v>38</v>
      </c>
      <c r="C22" s="44">
        <f>E18</f>
        <v>1.5400029801835657</v>
      </c>
      <c r="D22" s="42"/>
      <c r="E22" s="42"/>
      <c r="F22" s="42"/>
    </row>
    <row r="23" spans="1:6" ht="15">
      <c r="A23" s="29"/>
      <c r="B23" s="30"/>
      <c r="C23" s="44"/>
      <c r="D23" s="42"/>
      <c r="E23" s="42"/>
      <c r="F23" s="42"/>
    </row>
    <row r="24" spans="1:6" ht="21.75" customHeight="1">
      <c r="A24" s="2"/>
      <c r="B24" s="2"/>
      <c r="C24" s="2"/>
      <c r="D24" s="2"/>
      <c r="E24" s="2"/>
      <c r="F24" s="2"/>
    </row>
    <row r="25" spans="1:6" ht="33" customHeight="1">
      <c r="A25" s="138" t="s">
        <v>39</v>
      </c>
      <c r="B25" s="138"/>
      <c r="C25" s="138"/>
      <c r="D25" s="138"/>
      <c r="E25" s="138"/>
      <c r="F25" s="138"/>
    </row>
    <row r="26" spans="1:6" ht="15">
      <c r="A26" s="1"/>
      <c r="B26" s="1"/>
      <c r="C26" s="1"/>
      <c r="D26" s="2"/>
      <c r="E26" s="2"/>
      <c r="F26" s="2"/>
    </row>
    <row r="27" spans="1:6" ht="71.25">
      <c r="A27" s="8"/>
      <c r="B27" s="9" t="s">
        <v>4</v>
      </c>
      <c r="C27" s="9" t="s">
        <v>5</v>
      </c>
      <c r="D27" s="9" t="s">
        <v>6</v>
      </c>
      <c r="E27" s="9" t="s">
        <v>7</v>
      </c>
      <c r="F27" s="2"/>
    </row>
    <row r="28" spans="1:5" ht="31.5" customHeight="1">
      <c r="A28" s="139" t="s">
        <v>40</v>
      </c>
      <c r="B28" s="139"/>
      <c r="C28" s="139"/>
      <c r="D28" s="12">
        <f>D29</f>
        <v>11.4</v>
      </c>
      <c r="E28" s="12">
        <f>E29</f>
        <v>0.01</v>
      </c>
    </row>
    <row r="29" spans="1:5" ht="30">
      <c r="A29" s="15">
        <v>1</v>
      </c>
      <c r="B29" s="45" t="s">
        <v>41</v>
      </c>
      <c r="C29" s="45" t="s">
        <v>42</v>
      </c>
      <c r="D29" s="17">
        <f>E29*12*$D$2</f>
        <v>11.4</v>
      </c>
      <c r="E29" s="46">
        <v>0.01</v>
      </c>
    </row>
    <row r="30" spans="1:5" ht="32.25" customHeight="1">
      <c r="A30" s="139" t="s">
        <v>43</v>
      </c>
      <c r="B30" s="139"/>
      <c r="C30" s="139"/>
      <c r="D30" s="12">
        <f>D31+D32</f>
        <v>91.2</v>
      </c>
      <c r="E30" s="12">
        <f>E31+E32</f>
        <v>0.08</v>
      </c>
    </row>
    <row r="31" spans="1:5" ht="45">
      <c r="A31" s="15">
        <v>2</v>
      </c>
      <c r="B31" s="45" t="s">
        <v>44</v>
      </c>
      <c r="C31" s="45" t="s">
        <v>45</v>
      </c>
      <c r="D31" s="17">
        <f>E31*$D$2*12</f>
        <v>22.8</v>
      </c>
      <c r="E31" s="46">
        <v>0.02</v>
      </c>
    </row>
    <row r="32" spans="1:5" ht="15">
      <c r="A32" s="15">
        <v>3</v>
      </c>
      <c r="B32" s="47" t="s">
        <v>46</v>
      </c>
      <c r="C32" s="8" t="s">
        <v>42</v>
      </c>
      <c r="D32" s="17">
        <f>E32*$D$2*12</f>
        <v>68.4</v>
      </c>
      <c r="E32" s="18">
        <v>0.06</v>
      </c>
    </row>
    <row r="33" spans="1:6" ht="15">
      <c r="A33" s="9"/>
      <c r="B33" s="27" t="s">
        <v>27</v>
      </c>
      <c r="C33" s="27"/>
      <c r="D33" s="48">
        <f>D28+D30</f>
        <v>102.60000000000001</v>
      </c>
      <c r="E33" s="12">
        <f>E28+E30</f>
        <v>0.09</v>
      </c>
      <c r="F33" s="6"/>
    </row>
    <row r="34" spans="1:6" ht="15">
      <c r="A34" s="2"/>
      <c r="B34" s="2"/>
      <c r="C34" s="2"/>
      <c r="D34" s="2"/>
      <c r="E34" s="2"/>
      <c r="F34" s="2"/>
    </row>
    <row r="35" spans="1:6" ht="15">
      <c r="A35" s="34"/>
      <c r="B35" s="34"/>
      <c r="C35" s="34"/>
      <c r="D35" s="34"/>
      <c r="E35" s="34"/>
      <c r="F35" s="35"/>
    </row>
    <row r="36" spans="1:6" ht="105">
      <c r="A36" s="11" t="s">
        <v>28</v>
      </c>
      <c r="B36" s="11" t="s">
        <v>29</v>
      </c>
      <c r="C36" s="11" t="s">
        <v>30</v>
      </c>
      <c r="D36" s="11" t="s">
        <v>31</v>
      </c>
      <c r="E36" s="11" t="s">
        <v>47</v>
      </c>
      <c r="F36" s="11" t="s">
        <v>33</v>
      </c>
    </row>
    <row r="37" spans="1:6" ht="15">
      <c r="A37" s="11">
        <v>1</v>
      </c>
      <c r="B37" s="8" t="s">
        <v>123</v>
      </c>
      <c r="C37" s="11" t="s">
        <v>82</v>
      </c>
      <c r="D37" s="36">
        <v>514</v>
      </c>
      <c r="E37" s="50">
        <f>D37/12/$D$2</f>
        <v>0.45087719298245615</v>
      </c>
      <c r="F37" s="38">
        <v>1</v>
      </c>
    </row>
    <row r="38" spans="1:6" ht="15">
      <c r="A38" s="51"/>
      <c r="B38" s="51" t="s">
        <v>36</v>
      </c>
      <c r="C38" s="51"/>
      <c r="D38" s="52">
        <f>SUM(D37:D37)</f>
        <v>514</v>
      </c>
      <c r="E38" s="53">
        <f>SUM(E37:E37)</f>
        <v>0.45087719298245615</v>
      </c>
      <c r="F38" s="51"/>
    </row>
    <row r="42" spans="2:3" ht="29.25">
      <c r="B42" s="30" t="s">
        <v>136</v>
      </c>
      <c r="C42" s="55">
        <f>C21</f>
        <v>1755.6033974092652</v>
      </c>
    </row>
  </sheetData>
  <mergeCells count="9">
    <mergeCell ref="A1:E1"/>
    <mergeCell ref="A4:E4"/>
    <mergeCell ref="A7:C7"/>
    <mergeCell ref="A13:C13"/>
    <mergeCell ref="A10:C10"/>
    <mergeCell ref="A30:C30"/>
    <mergeCell ref="A16:C16"/>
    <mergeCell ref="A25:F25"/>
    <mergeCell ref="A28:C2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F81"/>
  <sheetViews>
    <sheetView zoomScale="97" zoomScaleNormal="97" workbookViewId="0" topLeftCell="A68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7" width="9.125" style="78" customWidth="1"/>
    <col min="8" max="16384" width="9.125" style="3" customWidth="1"/>
  </cols>
  <sheetData>
    <row r="1" spans="1:6" ht="15" customHeight="1">
      <c r="A1" s="138" t="s">
        <v>128</v>
      </c>
      <c r="B1" s="138"/>
      <c r="C1" s="138"/>
      <c r="D1" s="138"/>
      <c r="E1" s="138"/>
      <c r="F1" s="2"/>
    </row>
    <row r="2" spans="1:6" ht="39" customHeight="1">
      <c r="A2" s="2"/>
      <c r="B2" s="1" t="s">
        <v>129</v>
      </c>
      <c r="C2" s="4"/>
      <c r="D2" s="5">
        <v>77.9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740.1418411566117</v>
      </c>
      <c r="E7" s="12">
        <f>SUM(E8:E9)</f>
        <v>0.7917649135179842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677.1654539401753</v>
      </c>
      <c r="E8" s="20">
        <v>0.7243960782415225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62.97638721643632</v>
      </c>
      <c r="E9" s="17">
        <v>0.06736883527646162</v>
      </c>
      <c r="F9" s="21"/>
    </row>
    <row r="10" spans="1:6" ht="15">
      <c r="A10" s="140" t="s">
        <v>64</v>
      </c>
      <c r="B10" s="143"/>
      <c r="C10" s="144"/>
      <c r="D10" s="23">
        <f>SUM(D11:D12)</f>
        <v>85.67563517824209</v>
      </c>
      <c r="E10" s="23">
        <f>SUM(E11:E12)</f>
        <v>0.09165129993393462</v>
      </c>
      <c r="F10" s="21"/>
    </row>
    <row r="11" spans="1:6" ht="15.75" customHeight="1">
      <c r="A11" s="15">
        <v>3</v>
      </c>
      <c r="B11" s="22" t="s">
        <v>17</v>
      </c>
      <c r="C11" s="22" t="s">
        <v>18</v>
      </c>
      <c r="D11" s="17">
        <f>E11*12*$D$2</f>
        <v>47.19022995124923</v>
      </c>
      <c r="E11" s="18">
        <v>0.050481632382594385</v>
      </c>
      <c r="F11" s="13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38.48540522699285</v>
      </c>
      <c r="E12" s="17">
        <v>0.04116966755134024</v>
      </c>
      <c r="F12" s="2"/>
    </row>
    <row r="13" spans="1:6" ht="15">
      <c r="A13" s="145" t="s">
        <v>67</v>
      </c>
      <c r="B13" s="146"/>
      <c r="C13" s="146"/>
      <c r="D13" s="24">
        <f>SUM(D14:D15)</f>
        <v>283.08191249071393</v>
      </c>
      <c r="E13" s="24">
        <f>SUM(E14:E15)</f>
        <v>0.3028261793867286</v>
      </c>
      <c r="F13" s="2"/>
    </row>
    <row r="14" spans="1:6" ht="60">
      <c r="A14" s="15">
        <v>5</v>
      </c>
      <c r="B14" s="22" t="s">
        <v>86</v>
      </c>
      <c r="C14" s="22" t="s">
        <v>18</v>
      </c>
      <c r="D14" s="17">
        <f>E14*12*$D$2</f>
        <v>13.17696315459757</v>
      </c>
      <c r="E14" s="17">
        <v>0.014096023913775747</v>
      </c>
      <c r="F14" s="2"/>
    </row>
    <row r="15" spans="1:6" ht="60">
      <c r="A15" s="15">
        <v>6</v>
      </c>
      <c r="B15" s="22" t="s">
        <v>22</v>
      </c>
      <c r="C15" s="22" t="s">
        <v>87</v>
      </c>
      <c r="D15" s="17">
        <f>E15*12*$D$2</f>
        <v>269.9049493361164</v>
      </c>
      <c r="E15" s="20">
        <v>0.2887301554729529</v>
      </c>
      <c r="F15" s="2"/>
    </row>
    <row r="16" spans="1:6" ht="15">
      <c r="A16" s="145" t="s">
        <v>70</v>
      </c>
      <c r="B16" s="145"/>
      <c r="C16" s="145"/>
      <c r="D16" s="25">
        <f>SUM(D17)</f>
        <v>176.55567600000003</v>
      </c>
      <c r="E16" s="25">
        <f>SUM(E17)</f>
        <v>0.18887</v>
      </c>
      <c r="F16" s="2"/>
    </row>
    <row r="17" spans="1:6" ht="15">
      <c r="A17" s="15">
        <v>7</v>
      </c>
      <c r="B17" s="22" t="s">
        <v>25</v>
      </c>
      <c r="C17" s="22" t="s">
        <v>26</v>
      </c>
      <c r="D17" s="17">
        <f>E17*12*$D$2</f>
        <v>176.55567600000003</v>
      </c>
      <c r="E17" s="26">
        <v>0.18887</v>
      </c>
      <c r="F17" s="2"/>
    </row>
    <row r="18" spans="1:6" ht="15">
      <c r="A18" s="9"/>
      <c r="B18" s="27" t="s">
        <v>27</v>
      </c>
      <c r="C18" s="27"/>
      <c r="D18" s="48">
        <f>D7+D10+D13+D16</f>
        <v>1285.4550648255677</v>
      </c>
      <c r="E18" s="12">
        <f>E7+E10+E13+E16</f>
        <v>1.3751123928386475</v>
      </c>
      <c r="F18" s="6"/>
    </row>
    <row r="19" spans="1:6" ht="15">
      <c r="A19" s="29"/>
      <c r="B19" s="30"/>
      <c r="C19" s="31"/>
      <c r="D19" s="32"/>
      <c r="E19" s="33"/>
      <c r="F19" s="2"/>
    </row>
    <row r="20" spans="1:6" ht="15">
      <c r="A20" s="29"/>
      <c r="B20" s="30"/>
      <c r="C20" s="31"/>
      <c r="D20" s="32"/>
      <c r="E20" s="33"/>
      <c r="F20" s="2"/>
    </row>
    <row r="21" spans="1:6" ht="29.25">
      <c r="A21" s="29"/>
      <c r="B21" s="30" t="s">
        <v>37</v>
      </c>
      <c r="C21" s="43">
        <f>D18</f>
        <v>1285.4550648255677</v>
      </c>
      <c r="D21" s="43"/>
      <c r="E21" s="43"/>
      <c r="F21" s="42"/>
    </row>
    <row r="22" spans="1:6" ht="15">
      <c r="A22" s="29"/>
      <c r="B22" s="30" t="s">
        <v>38</v>
      </c>
      <c r="C22" s="44">
        <f>E18</f>
        <v>1.3751123928386475</v>
      </c>
      <c r="D22" s="42"/>
      <c r="E22" s="42"/>
      <c r="F22" s="42"/>
    </row>
    <row r="23" spans="1:6" ht="15">
      <c r="A23" s="29"/>
      <c r="B23" s="30"/>
      <c r="C23" s="44"/>
      <c r="D23" s="42"/>
      <c r="E23" s="42"/>
      <c r="F23" s="42"/>
    </row>
    <row r="24" spans="1:6" ht="21.75" customHeight="1">
      <c r="A24" s="2"/>
      <c r="B24" s="2"/>
      <c r="C24" s="2"/>
      <c r="D24" s="2"/>
      <c r="E24" s="2"/>
      <c r="F24" s="2"/>
    </row>
    <row r="25" spans="1:6" ht="33" customHeight="1">
      <c r="A25" s="138" t="s">
        <v>39</v>
      </c>
      <c r="B25" s="138"/>
      <c r="C25" s="138"/>
      <c r="D25" s="138"/>
      <c r="E25" s="138"/>
      <c r="F25" s="138"/>
    </row>
    <row r="26" spans="1:6" ht="15">
      <c r="A26" s="1"/>
      <c r="B26" s="1"/>
      <c r="C26" s="1"/>
      <c r="D26" s="2"/>
      <c r="E26" s="2"/>
      <c r="F26" s="2"/>
    </row>
    <row r="27" spans="1:6" ht="71.25">
      <c r="A27" s="8"/>
      <c r="B27" s="9" t="s">
        <v>4</v>
      </c>
      <c r="C27" s="9" t="s">
        <v>5</v>
      </c>
      <c r="D27" s="9" t="s">
        <v>6</v>
      </c>
      <c r="E27" s="9" t="s">
        <v>7</v>
      </c>
      <c r="F27" s="2"/>
    </row>
    <row r="28" spans="1:5" ht="31.5" customHeight="1">
      <c r="A28" s="139" t="s">
        <v>40</v>
      </c>
      <c r="B28" s="139"/>
      <c r="C28" s="139"/>
      <c r="D28" s="12">
        <f>D29</f>
        <v>9.348</v>
      </c>
      <c r="E28" s="12">
        <f>E29</f>
        <v>0.01</v>
      </c>
    </row>
    <row r="29" spans="1:5" ht="30">
      <c r="A29" s="15">
        <v>1</v>
      </c>
      <c r="B29" s="45" t="s">
        <v>41</v>
      </c>
      <c r="C29" s="45" t="s">
        <v>42</v>
      </c>
      <c r="D29" s="17">
        <f>E29*12*$D$2</f>
        <v>9.348</v>
      </c>
      <c r="E29" s="46">
        <v>0.01</v>
      </c>
    </row>
    <row r="30" spans="1:5" ht="32.25" customHeight="1">
      <c r="A30" s="139" t="s">
        <v>43</v>
      </c>
      <c r="B30" s="139"/>
      <c r="C30" s="139"/>
      <c r="D30" s="12">
        <f>D31+D32</f>
        <v>74.784</v>
      </c>
      <c r="E30" s="12">
        <f>E31+E32</f>
        <v>0.08</v>
      </c>
    </row>
    <row r="31" spans="1:5" ht="45">
      <c r="A31" s="15">
        <v>2</v>
      </c>
      <c r="B31" s="45" t="s">
        <v>44</v>
      </c>
      <c r="C31" s="45" t="s">
        <v>45</v>
      </c>
      <c r="D31" s="17">
        <f>E31*$D$2*12</f>
        <v>18.696</v>
      </c>
      <c r="E31" s="46">
        <v>0.02</v>
      </c>
    </row>
    <row r="32" spans="1:5" ht="15">
      <c r="A32" s="15">
        <v>3</v>
      </c>
      <c r="B32" s="47" t="s">
        <v>46</v>
      </c>
      <c r="C32" s="8" t="s">
        <v>42</v>
      </c>
      <c r="D32" s="17">
        <f>E32*$D$2*12</f>
        <v>56.08800000000001</v>
      </c>
      <c r="E32" s="18">
        <v>0.06</v>
      </c>
    </row>
    <row r="33" spans="1:6" ht="15">
      <c r="A33" s="9"/>
      <c r="B33" s="27" t="s">
        <v>27</v>
      </c>
      <c r="C33" s="27"/>
      <c r="D33" s="48">
        <f>D28+D30</f>
        <v>84.132</v>
      </c>
      <c r="E33" s="12">
        <f>E28+E30</f>
        <v>0.09</v>
      </c>
      <c r="F33" s="6"/>
    </row>
    <row r="34" spans="1:6" ht="15">
      <c r="A34" s="2"/>
      <c r="B34" s="2"/>
      <c r="C34" s="2"/>
      <c r="D34" s="2"/>
      <c r="E34" s="2"/>
      <c r="F34" s="2"/>
    </row>
    <row r="35" spans="1:6" ht="15">
      <c r="A35" s="34"/>
      <c r="B35" s="34"/>
      <c r="C35" s="34"/>
      <c r="D35" s="34"/>
      <c r="E35" s="34"/>
      <c r="F35" s="35"/>
    </row>
    <row r="36" spans="1:6" ht="105">
      <c r="A36" s="11" t="s">
        <v>28</v>
      </c>
      <c r="B36" s="11" t="s">
        <v>29</v>
      </c>
      <c r="C36" s="11" t="s">
        <v>30</v>
      </c>
      <c r="D36" s="11" t="s">
        <v>31</v>
      </c>
      <c r="E36" s="11" t="s">
        <v>47</v>
      </c>
      <c r="F36" s="11" t="s">
        <v>33</v>
      </c>
    </row>
    <row r="37" spans="1:6" ht="15">
      <c r="A37" s="11">
        <v>1</v>
      </c>
      <c r="B37" s="8" t="s">
        <v>123</v>
      </c>
      <c r="C37" s="11" t="s">
        <v>82</v>
      </c>
      <c r="D37" s="36">
        <v>514</v>
      </c>
      <c r="E37" s="50">
        <f>D37/12/$D$2</f>
        <v>0.5498502353444586</v>
      </c>
      <c r="F37" s="38">
        <v>1</v>
      </c>
    </row>
    <row r="38" spans="1:6" ht="15">
      <c r="A38" s="51"/>
      <c r="B38" s="51" t="s">
        <v>36</v>
      </c>
      <c r="C38" s="51"/>
      <c r="D38" s="52">
        <f>SUM(D37:D37)</f>
        <v>514</v>
      </c>
      <c r="E38" s="53">
        <f>SUM(E37:E37)</f>
        <v>0.5498502353444586</v>
      </c>
      <c r="F38" s="51"/>
    </row>
    <row r="41" spans="1:6" ht="15">
      <c r="A41" s="2"/>
      <c r="B41" s="1" t="s">
        <v>130</v>
      </c>
      <c r="C41" s="4"/>
      <c r="D41" s="5">
        <v>77.5</v>
      </c>
      <c r="E41" s="6" t="s">
        <v>2</v>
      </c>
      <c r="F41" s="2"/>
    </row>
    <row r="42" spans="1:6" ht="15">
      <c r="A42" s="2"/>
      <c r="B42" s="7"/>
      <c r="C42" s="2"/>
      <c r="D42" s="2"/>
      <c r="E42" s="2"/>
      <c r="F42" s="2"/>
    </row>
    <row r="43" spans="1:6" ht="30.75" customHeight="1">
      <c r="A43" s="138" t="s">
        <v>3</v>
      </c>
      <c r="B43" s="138"/>
      <c r="C43" s="138"/>
      <c r="D43" s="138"/>
      <c r="E43" s="138"/>
      <c r="F43" s="2"/>
    </row>
    <row r="44" spans="1:6" ht="7.5" customHeight="1">
      <c r="A44" s="1"/>
      <c r="B44" s="1"/>
      <c r="C44" s="1"/>
      <c r="D44" s="1"/>
      <c r="E44" s="1"/>
      <c r="F44" s="2"/>
    </row>
    <row r="45" spans="1:6" ht="71.25">
      <c r="A45" s="8"/>
      <c r="B45" s="9" t="s">
        <v>4</v>
      </c>
      <c r="C45" s="9" t="s">
        <v>5</v>
      </c>
      <c r="D45" s="9" t="s">
        <v>6</v>
      </c>
      <c r="E45" s="9" t="s">
        <v>7</v>
      </c>
      <c r="F45" s="2"/>
    </row>
    <row r="46" spans="1:6" ht="15">
      <c r="A46" s="140" t="s">
        <v>61</v>
      </c>
      <c r="B46" s="141"/>
      <c r="C46" s="142"/>
      <c r="D46" s="12">
        <f>SUM(D47:D48)</f>
        <v>592.1134729252897</v>
      </c>
      <c r="E46" s="12">
        <f>SUM(E47:E48)</f>
        <v>0.6366811536831072</v>
      </c>
      <c r="F46" s="19"/>
    </row>
    <row r="47" spans="1:6" ht="15.75" customHeight="1">
      <c r="A47" s="15">
        <v>1</v>
      </c>
      <c r="B47" s="8" t="s">
        <v>12</v>
      </c>
      <c r="C47" s="16" t="s">
        <v>13</v>
      </c>
      <c r="D47" s="17">
        <f>E47*$D$41*12</f>
        <v>541.7323631521406</v>
      </c>
      <c r="E47" s="20">
        <v>0.5825079173678931</v>
      </c>
      <c r="F47" s="21"/>
    </row>
    <row r="48" spans="1:6" ht="30">
      <c r="A48" s="15">
        <v>2</v>
      </c>
      <c r="B48" s="22" t="s">
        <v>14</v>
      </c>
      <c r="C48" s="22" t="s">
        <v>15</v>
      </c>
      <c r="D48" s="17">
        <f>E48*$D$41*12</f>
        <v>50.38110977314908</v>
      </c>
      <c r="E48" s="17">
        <v>0.05417323631521406</v>
      </c>
      <c r="F48" s="21"/>
    </row>
    <row r="49" spans="1:6" ht="15">
      <c r="A49" s="140" t="s">
        <v>64</v>
      </c>
      <c r="B49" s="143"/>
      <c r="C49" s="144"/>
      <c r="D49" s="23">
        <f>SUM(D50:D51)</f>
        <v>85.67563517824213</v>
      </c>
      <c r="E49" s="23">
        <f>SUM(E50:E51)</f>
        <v>0.09212433890133562</v>
      </c>
      <c r="F49" s="21"/>
    </row>
    <row r="50" spans="1:6" ht="15.75" customHeight="1">
      <c r="A50" s="15">
        <v>3</v>
      </c>
      <c r="B50" s="22" t="s">
        <v>17</v>
      </c>
      <c r="C50" s="22" t="s">
        <v>18</v>
      </c>
      <c r="D50" s="17">
        <f>E50*$D$41*12</f>
        <v>47.19022995124922</v>
      </c>
      <c r="E50" s="18">
        <v>0.050742182743278734</v>
      </c>
      <c r="F50" s="13"/>
    </row>
    <row r="51" spans="1:6" ht="60">
      <c r="A51" s="15">
        <v>4</v>
      </c>
      <c r="B51" s="22" t="s">
        <v>19</v>
      </c>
      <c r="C51" s="22" t="s">
        <v>18</v>
      </c>
      <c r="D51" s="17">
        <f>E51*$D$41*12</f>
        <v>38.48540522699291</v>
      </c>
      <c r="E51" s="17">
        <v>0.04138215615805689</v>
      </c>
      <c r="F51" s="2"/>
    </row>
    <row r="52" spans="1:6" ht="15">
      <c r="A52" s="145" t="s">
        <v>67</v>
      </c>
      <c r="B52" s="146"/>
      <c r="C52" s="146"/>
      <c r="D52" s="24">
        <f>SUM(D53:D54)</f>
        <v>282.4877904456259</v>
      </c>
      <c r="E52" s="24">
        <f>SUM(E53:E54)</f>
        <v>0.3037503123071246</v>
      </c>
      <c r="F52" s="2"/>
    </row>
    <row r="53" spans="1:6" ht="60">
      <c r="A53" s="15">
        <v>5</v>
      </c>
      <c r="B53" s="22" t="s">
        <v>86</v>
      </c>
      <c r="C53" s="22" t="s">
        <v>18</v>
      </c>
      <c r="D53" s="17">
        <f>E53*$D$41*12</f>
        <v>13.176963154597573</v>
      </c>
      <c r="E53" s="17">
        <v>0.014168777585588786</v>
      </c>
      <c r="F53" s="2"/>
    </row>
    <row r="54" spans="1:6" ht="60">
      <c r="A54" s="15">
        <v>6</v>
      </c>
      <c r="B54" s="22" t="s">
        <v>22</v>
      </c>
      <c r="C54" s="22" t="s">
        <v>87</v>
      </c>
      <c r="D54" s="17">
        <f>E54*$D$41*12</f>
        <v>269.3108272910283</v>
      </c>
      <c r="E54" s="20">
        <v>0.28958153472153586</v>
      </c>
      <c r="F54" s="2"/>
    </row>
    <row r="55" spans="1:6" ht="15">
      <c r="A55" s="145" t="s">
        <v>70</v>
      </c>
      <c r="B55" s="145"/>
      <c r="C55" s="145"/>
      <c r="D55" s="25">
        <f>SUM(D56)</f>
        <v>174.2634</v>
      </c>
      <c r="E55" s="25">
        <f>SUM(E56)</f>
        <v>0.18738</v>
      </c>
      <c r="F55" s="2"/>
    </row>
    <row r="56" spans="1:6" ht="15">
      <c r="A56" s="15">
        <v>7</v>
      </c>
      <c r="B56" s="22" t="s">
        <v>25</v>
      </c>
      <c r="C56" s="22" t="s">
        <v>26</v>
      </c>
      <c r="D56" s="17">
        <f>E56*$D$41*12</f>
        <v>174.2634</v>
      </c>
      <c r="E56" s="26">
        <v>0.18738</v>
      </c>
      <c r="F56" s="2"/>
    </row>
    <row r="57" spans="1:6" ht="15">
      <c r="A57" s="9"/>
      <c r="B57" s="27" t="s">
        <v>27</v>
      </c>
      <c r="C57" s="27"/>
      <c r="D57" s="48">
        <f>D46+D49+D52+D55</f>
        <v>1134.5402985491578</v>
      </c>
      <c r="E57" s="12">
        <f>E46+E49+E52+E55</f>
        <v>1.2199358048915676</v>
      </c>
      <c r="F57" s="6"/>
    </row>
    <row r="58" spans="1:6" ht="15">
      <c r="A58" s="29"/>
      <c r="B58" s="30"/>
      <c r="C58" s="31"/>
      <c r="D58" s="32"/>
      <c r="E58" s="33"/>
      <c r="F58" s="2"/>
    </row>
    <row r="59" spans="1:6" ht="29.25">
      <c r="A59" s="29"/>
      <c r="B59" s="30" t="s">
        <v>37</v>
      </c>
      <c r="C59" s="43">
        <f>D57</f>
        <v>1134.5402985491578</v>
      </c>
      <c r="D59" s="43"/>
      <c r="E59" s="43"/>
      <c r="F59" s="42"/>
    </row>
    <row r="60" spans="1:6" ht="15">
      <c r="A60" s="29"/>
      <c r="B60" s="30" t="s">
        <v>38</v>
      </c>
      <c r="C60" s="44">
        <f>E57</f>
        <v>1.2199358048915676</v>
      </c>
      <c r="D60" s="42"/>
      <c r="E60" s="42"/>
      <c r="F60" s="42"/>
    </row>
    <row r="61" spans="1:6" ht="3" customHeight="1">
      <c r="A61" s="29"/>
      <c r="B61" s="30"/>
      <c r="C61" s="44"/>
      <c r="D61" s="42"/>
      <c r="E61" s="42"/>
      <c r="F61" s="42"/>
    </row>
    <row r="62" spans="1:6" ht="15">
      <c r="A62" s="2"/>
      <c r="B62" s="2"/>
      <c r="C62" s="2"/>
      <c r="D62" s="2"/>
      <c r="E62" s="2"/>
      <c r="F62" s="2"/>
    </row>
    <row r="63" spans="1:6" ht="33" customHeight="1">
      <c r="A63" s="138" t="s">
        <v>39</v>
      </c>
      <c r="B63" s="138"/>
      <c r="C63" s="138"/>
      <c r="D63" s="138"/>
      <c r="E63" s="138"/>
      <c r="F63" s="138"/>
    </row>
    <row r="64" spans="1:6" ht="15">
      <c r="A64" s="1"/>
      <c r="B64" s="1"/>
      <c r="C64" s="1"/>
      <c r="D64" s="2"/>
      <c r="E64" s="2"/>
      <c r="F64" s="2"/>
    </row>
    <row r="65" spans="1:6" ht="71.25">
      <c r="A65" s="8"/>
      <c r="B65" s="9" t="s">
        <v>4</v>
      </c>
      <c r="C65" s="9" t="s">
        <v>5</v>
      </c>
      <c r="D65" s="9" t="s">
        <v>6</v>
      </c>
      <c r="E65" s="9" t="s">
        <v>7</v>
      </c>
      <c r="F65" s="2"/>
    </row>
    <row r="66" spans="1:5" ht="31.5" customHeight="1">
      <c r="A66" s="139" t="s">
        <v>40</v>
      </c>
      <c r="B66" s="139"/>
      <c r="C66" s="139"/>
      <c r="D66" s="12">
        <f>D67</f>
        <v>9.299999999999999</v>
      </c>
      <c r="E66" s="12">
        <f>E67</f>
        <v>0.01</v>
      </c>
    </row>
    <row r="67" spans="1:5" ht="30">
      <c r="A67" s="15">
        <v>1</v>
      </c>
      <c r="B67" s="45" t="s">
        <v>41</v>
      </c>
      <c r="C67" s="45" t="s">
        <v>42</v>
      </c>
      <c r="D67" s="17">
        <f>E67*12*$D$41</f>
        <v>9.299999999999999</v>
      </c>
      <c r="E67" s="46">
        <v>0.01</v>
      </c>
    </row>
    <row r="68" spans="1:5" ht="32.25" customHeight="1">
      <c r="A68" s="139" t="s">
        <v>43</v>
      </c>
      <c r="B68" s="139"/>
      <c r="C68" s="139"/>
      <c r="D68" s="12">
        <f>D69+D70</f>
        <v>74.39999999999999</v>
      </c>
      <c r="E68" s="12">
        <f>E69+E70</f>
        <v>0.08</v>
      </c>
    </row>
    <row r="69" spans="1:5" ht="45">
      <c r="A69" s="15">
        <v>2</v>
      </c>
      <c r="B69" s="45" t="s">
        <v>44</v>
      </c>
      <c r="C69" s="45" t="s">
        <v>45</v>
      </c>
      <c r="D69" s="17">
        <f>E69*12*$D$41</f>
        <v>18.599999999999998</v>
      </c>
      <c r="E69" s="46">
        <v>0.02</v>
      </c>
    </row>
    <row r="70" spans="1:5" ht="15">
      <c r="A70" s="15">
        <v>3</v>
      </c>
      <c r="B70" s="47" t="s">
        <v>46</v>
      </c>
      <c r="C70" s="8" t="s">
        <v>42</v>
      </c>
      <c r="D70" s="17">
        <f>E70*12*$D$41</f>
        <v>55.8</v>
      </c>
      <c r="E70" s="18">
        <v>0.06</v>
      </c>
    </row>
    <row r="71" spans="1:6" ht="15">
      <c r="A71" s="9"/>
      <c r="B71" s="27" t="s">
        <v>27</v>
      </c>
      <c r="C71" s="27"/>
      <c r="D71" s="48">
        <f>D66+D68</f>
        <v>83.69999999999999</v>
      </c>
      <c r="E71" s="12">
        <f>E66+E68</f>
        <v>0.09</v>
      </c>
      <c r="F71" s="6"/>
    </row>
    <row r="72" spans="1:6" ht="15">
      <c r="A72" s="2"/>
      <c r="B72" s="2"/>
      <c r="C72" s="2"/>
      <c r="D72" s="2"/>
      <c r="E72" s="2"/>
      <c r="F72" s="2"/>
    </row>
    <row r="73" spans="1:6" ht="15">
      <c r="A73" s="34"/>
      <c r="B73" s="34"/>
      <c r="C73" s="34"/>
      <c r="D73" s="34"/>
      <c r="E73" s="34"/>
      <c r="F73" s="35"/>
    </row>
    <row r="74" spans="1:6" ht="105">
      <c r="A74" s="11" t="s">
        <v>28</v>
      </c>
      <c r="B74" s="11" t="s">
        <v>29</v>
      </c>
      <c r="C74" s="11" t="s">
        <v>30</v>
      </c>
      <c r="D74" s="11" t="s">
        <v>31</v>
      </c>
      <c r="E74" s="11" t="s">
        <v>47</v>
      </c>
      <c r="F74" s="11" t="s">
        <v>33</v>
      </c>
    </row>
    <row r="75" spans="1:6" ht="15">
      <c r="A75" s="11">
        <v>1</v>
      </c>
      <c r="B75" s="8" t="s">
        <v>123</v>
      </c>
      <c r="C75" s="11" t="s">
        <v>82</v>
      </c>
      <c r="D75" s="36">
        <v>514</v>
      </c>
      <c r="E75" s="50">
        <f>D75/12/$D$41</f>
        <v>0.5526881720430108</v>
      </c>
      <c r="F75" s="38">
        <v>1</v>
      </c>
    </row>
    <row r="76" spans="1:6" ht="15">
      <c r="A76" s="51"/>
      <c r="B76" s="51" t="s">
        <v>36</v>
      </c>
      <c r="C76" s="51"/>
      <c r="D76" s="52">
        <f>SUM(D75:D75)</f>
        <v>514</v>
      </c>
      <c r="E76" s="53">
        <f>SUM(E75:E75)</f>
        <v>0.5526881720430108</v>
      </c>
      <c r="F76" s="51"/>
    </row>
    <row r="81" spans="2:3" ht="29.25">
      <c r="B81" s="30" t="s">
        <v>131</v>
      </c>
      <c r="C81" s="43">
        <f>C21+C59</f>
        <v>2419.9953633747255</v>
      </c>
    </row>
  </sheetData>
  <mergeCells count="17">
    <mergeCell ref="A55:C55"/>
    <mergeCell ref="A63:F63"/>
    <mergeCell ref="A66:C66"/>
    <mergeCell ref="A68:C68"/>
    <mergeCell ref="A43:E43"/>
    <mergeCell ref="A46:C46"/>
    <mergeCell ref="A49:C49"/>
    <mergeCell ref="A52:C52"/>
    <mergeCell ref="A30:C30"/>
    <mergeCell ref="A16:C16"/>
    <mergeCell ref="A25:F25"/>
    <mergeCell ref="A28:C28"/>
    <mergeCell ref="A1:E1"/>
    <mergeCell ref="A4:E4"/>
    <mergeCell ref="A7:C7"/>
    <mergeCell ref="A13:C13"/>
    <mergeCell ref="A10:C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F81"/>
  <sheetViews>
    <sheetView zoomScale="97" zoomScaleNormal="97" workbookViewId="0" topLeftCell="A73">
      <selection activeCell="C38" sqref="C3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7" width="9.125" style="78" customWidth="1"/>
    <col min="8" max="16384" width="9.125" style="3" customWidth="1"/>
  </cols>
  <sheetData>
    <row r="1" spans="1:6" ht="15" customHeight="1">
      <c r="A1" s="138" t="s">
        <v>132</v>
      </c>
      <c r="B1" s="138"/>
      <c r="C1" s="138"/>
      <c r="D1" s="138"/>
      <c r="E1" s="138"/>
      <c r="F1" s="2"/>
    </row>
    <row r="2" spans="1:6" ht="39" customHeight="1">
      <c r="A2" s="2"/>
      <c r="B2" s="1" t="s">
        <v>133</v>
      </c>
      <c r="C2" s="4"/>
      <c r="D2" s="5">
        <v>104.9</v>
      </c>
      <c r="E2" s="6" t="s">
        <v>2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38" t="s">
        <v>3</v>
      </c>
      <c r="B4" s="138"/>
      <c r="C4" s="138"/>
      <c r="D4" s="138"/>
      <c r="E4" s="138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4</v>
      </c>
      <c r="C6" s="9" t="s">
        <v>5</v>
      </c>
      <c r="D6" s="9" t="s">
        <v>6</v>
      </c>
      <c r="E6" s="9" t="s">
        <v>7</v>
      </c>
      <c r="F6" s="2"/>
    </row>
    <row r="7" spans="1:6" ht="15">
      <c r="A7" s="140" t="s">
        <v>61</v>
      </c>
      <c r="B7" s="141"/>
      <c r="C7" s="142"/>
      <c r="D7" s="12">
        <f>SUM(D8:D9)</f>
        <v>1036.1985776192557</v>
      </c>
      <c r="E7" s="12">
        <f>SUM(E8:E9)</f>
        <v>0.8231637890206989</v>
      </c>
      <c r="F7" s="19"/>
    </row>
    <row r="8" spans="1:6" ht="15.75" customHeight="1">
      <c r="A8" s="15">
        <v>1</v>
      </c>
      <c r="B8" s="8" t="s">
        <v>12</v>
      </c>
      <c r="C8" s="16" t="s">
        <v>13</v>
      </c>
      <c r="D8" s="17">
        <f>E8*$D$2*12</f>
        <v>948.0316355162448</v>
      </c>
      <c r="E8" s="20">
        <v>0.7531233202385167</v>
      </c>
      <c r="F8" s="21"/>
    </row>
    <row r="9" spans="1:6" ht="30">
      <c r="A9" s="15">
        <v>2</v>
      </c>
      <c r="B9" s="22" t="s">
        <v>14</v>
      </c>
      <c r="C9" s="22" t="s">
        <v>15</v>
      </c>
      <c r="D9" s="17">
        <f>E9*$D$2*12</f>
        <v>88.1669421030109</v>
      </c>
      <c r="E9" s="17">
        <v>0.07004046878218215</v>
      </c>
      <c r="F9" s="21"/>
    </row>
    <row r="10" spans="1:6" ht="15">
      <c r="A10" s="140" t="s">
        <v>64</v>
      </c>
      <c r="B10" s="143"/>
      <c r="C10" s="144"/>
      <c r="D10" s="23">
        <f>SUM(D11:D12)</f>
        <v>85.67563517824216</v>
      </c>
      <c r="E10" s="23">
        <f>SUM(E11:E12)</f>
        <v>0.06806135619498106</v>
      </c>
      <c r="F10" s="21"/>
    </row>
    <row r="11" spans="1:6" ht="15.75" customHeight="1">
      <c r="A11" s="15">
        <v>3</v>
      </c>
      <c r="B11" s="22" t="s">
        <v>17</v>
      </c>
      <c r="C11" s="22" t="s">
        <v>18</v>
      </c>
      <c r="D11" s="17">
        <f>E11*12*$D$2</f>
        <v>47.19022995124924</v>
      </c>
      <c r="E11" s="18">
        <v>0.037488266564386113</v>
      </c>
      <c r="F11" s="13"/>
    </row>
    <row r="12" spans="1:6" ht="60">
      <c r="A12" s="15">
        <v>4</v>
      </c>
      <c r="B12" s="22" t="s">
        <v>19</v>
      </c>
      <c r="C12" s="22" t="s">
        <v>18</v>
      </c>
      <c r="D12" s="17">
        <f>E12*12*$D$2</f>
        <v>38.48540522699292</v>
      </c>
      <c r="E12" s="17">
        <v>0.030573089630594946</v>
      </c>
      <c r="F12" s="2"/>
    </row>
    <row r="13" spans="1:6" ht="15">
      <c r="A13" s="145" t="s">
        <v>67</v>
      </c>
      <c r="B13" s="146"/>
      <c r="C13" s="146"/>
      <c r="D13" s="24">
        <f>SUM(D14:D15)</f>
        <v>323.18515053415393</v>
      </c>
      <c r="E13" s="24">
        <f>SUM(E14:E15)</f>
        <v>0.2567406661377136</v>
      </c>
      <c r="F13" s="2"/>
    </row>
    <row r="14" spans="1:6" ht="60">
      <c r="A14" s="15">
        <v>5</v>
      </c>
      <c r="B14" s="22" t="s">
        <v>86</v>
      </c>
      <c r="C14" s="22" t="s">
        <v>18</v>
      </c>
      <c r="D14" s="17">
        <f>E14*12*$D$2</f>
        <v>13.176963154597573</v>
      </c>
      <c r="E14" s="17">
        <v>0.010467876671907825</v>
      </c>
      <c r="F14" s="2"/>
    </row>
    <row r="15" spans="1:6" ht="60">
      <c r="A15" s="15">
        <v>6</v>
      </c>
      <c r="B15" s="22" t="s">
        <v>22</v>
      </c>
      <c r="C15" s="22" t="s">
        <v>87</v>
      </c>
      <c r="D15" s="17">
        <f>E15*12*$D$2</f>
        <v>310.0081873795564</v>
      </c>
      <c r="E15" s="20">
        <v>0.2462727894658058</v>
      </c>
      <c r="F15" s="2"/>
    </row>
    <row r="16" spans="1:6" ht="15">
      <c r="A16" s="145" t="s">
        <v>70</v>
      </c>
      <c r="B16" s="145"/>
      <c r="C16" s="145"/>
      <c r="D16" s="25">
        <f>SUM(D17)</f>
        <v>181.83914591142093</v>
      </c>
      <c r="E16" s="25">
        <f>SUM(E17)</f>
        <v>0.14445435804847548</v>
      </c>
      <c r="F16" s="2"/>
    </row>
    <row r="17" spans="1:6" ht="15">
      <c r="A17" s="15">
        <v>7</v>
      </c>
      <c r="B17" s="22" t="s">
        <v>25</v>
      </c>
      <c r="C17" s="22" t="s">
        <v>26</v>
      </c>
      <c r="D17" s="17">
        <f>E17*12*$D$2</f>
        <v>181.83914591142093</v>
      </c>
      <c r="E17" s="26">
        <v>0.14445435804847548</v>
      </c>
      <c r="F17" s="2"/>
    </row>
    <row r="18" spans="1:6" ht="15">
      <c r="A18" s="9"/>
      <c r="B18" s="27" t="s">
        <v>27</v>
      </c>
      <c r="C18" s="27"/>
      <c r="D18" s="48">
        <f>D7+D10+D13+D16</f>
        <v>1626.8985092430728</v>
      </c>
      <c r="E18" s="12">
        <f>E7+E10+E13+E16</f>
        <v>1.2924201694018689</v>
      </c>
      <c r="F18" s="6"/>
    </row>
    <row r="19" spans="1:6" ht="15">
      <c r="A19" s="29"/>
      <c r="B19" s="30"/>
      <c r="C19" s="31"/>
      <c r="D19" s="32"/>
      <c r="E19" s="33"/>
      <c r="F19" s="2"/>
    </row>
    <row r="20" spans="1:6" ht="15">
      <c r="A20" s="29"/>
      <c r="B20" s="30"/>
      <c r="C20" s="31"/>
      <c r="D20" s="32"/>
      <c r="E20" s="33"/>
      <c r="F20" s="2"/>
    </row>
    <row r="21" spans="1:6" ht="29.25">
      <c r="A21" s="29"/>
      <c r="B21" s="30" t="s">
        <v>37</v>
      </c>
      <c r="C21" s="43">
        <f>D18</f>
        <v>1626.8985092430728</v>
      </c>
      <c r="D21" s="43"/>
      <c r="E21" s="43"/>
      <c r="F21" s="42"/>
    </row>
    <row r="22" spans="1:6" ht="15">
      <c r="A22" s="29"/>
      <c r="B22" s="30" t="s">
        <v>38</v>
      </c>
      <c r="C22" s="44">
        <f>E18</f>
        <v>1.2924201694018689</v>
      </c>
      <c r="D22" s="42"/>
      <c r="E22" s="42"/>
      <c r="F22" s="42"/>
    </row>
    <row r="23" spans="1:6" ht="15">
      <c r="A23" s="29"/>
      <c r="B23" s="30"/>
      <c r="C23" s="44"/>
      <c r="D23" s="42"/>
      <c r="E23" s="42"/>
      <c r="F23" s="42"/>
    </row>
    <row r="24" spans="1:6" ht="21.75" customHeight="1">
      <c r="A24" s="2"/>
      <c r="B24" s="2"/>
      <c r="C24" s="2"/>
      <c r="D24" s="2"/>
      <c r="E24" s="2"/>
      <c r="F24" s="2"/>
    </row>
    <row r="25" spans="1:6" ht="33" customHeight="1">
      <c r="A25" s="138" t="s">
        <v>39</v>
      </c>
      <c r="B25" s="138"/>
      <c r="C25" s="138"/>
      <c r="D25" s="138"/>
      <c r="E25" s="138"/>
      <c r="F25" s="138"/>
    </row>
    <row r="26" spans="1:6" ht="15">
      <c r="A26" s="1"/>
      <c r="B26" s="1"/>
      <c r="C26" s="1"/>
      <c r="D26" s="2"/>
      <c r="E26" s="2"/>
      <c r="F26" s="2"/>
    </row>
    <row r="27" spans="1:6" ht="71.25">
      <c r="A27" s="8"/>
      <c r="B27" s="9" t="s">
        <v>4</v>
      </c>
      <c r="C27" s="9" t="s">
        <v>5</v>
      </c>
      <c r="D27" s="9" t="s">
        <v>6</v>
      </c>
      <c r="E27" s="9" t="s">
        <v>7</v>
      </c>
      <c r="F27" s="2"/>
    </row>
    <row r="28" spans="1:5" ht="31.5" customHeight="1">
      <c r="A28" s="139" t="s">
        <v>40</v>
      </c>
      <c r="B28" s="139"/>
      <c r="C28" s="139"/>
      <c r="D28" s="12">
        <f>D29</f>
        <v>12.588000000000001</v>
      </c>
      <c r="E28" s="12">
        <f>E29</f>
        <v>0.01</v>
      </c>
    </row>
    <row r="29" spans="1:5" ht="30">
      <c r="A29" s="15">
        <v>1</v>
      </c>
      <c r="B29" s="45" t="s">
        <v>41</v>
      </c>
      <c r="C29" s="45" t="s">
        <v>42</v>
      </c>
      <c r="D29" s="17">
        <f>E29*12*$D$2</f>
        <v>12.588000000000001</v>
      </c>
      <c r="E29" s="46">
        <v>0.01</v>
      </c>
    </row>
    <row r="30" spans="1:5" ht="32.25" customHeight="1">
      <c r="A30" s="139" t="s">
        <v>43</v>
      </c>
      <c r="B30" s="139"/>
      <c r="C30" s="139"/>
      <c r="D30" s="12">
        <f>D31+D32</f>
        <v>100.70400000000001</v>
      </c>
      <c r="E30" s="12">
        <f>E31+E32</f>
        <v>0.08</v>
      </c>
    </row>
    <row r="31" spans="1:5" ht="45">
      <c r="A31" s="15">
        <v>2</v>
      </c>
      <c r="B31" s="45" t="s">
        <v>44</v>
      </c>
      <c r="C31" s="45" t="s">
        <v>45</v>
      </c>
      <c r="D31" s="17">
        <f>E31*$D$2*12</f>
        <v>25.176000000000002</v>
      </c>
      <c r="E31" s="46">
        <v>0.02</v>
      </c>
    </row>
    <row r="32" spans="1:5" ht="15">
      <c r="A32" s="15">
        <v>3</v>
      </c>
      <c r="B32" s="47" t="s">
        <v>46</v>
      </c>
      <c r="C32" s="8" t="s">
        <v>42</v>
      </c>
      <c r="D32" s="17">
        <f>E32*$D$2*12</f>
        <v>75.528</v>
      </c>
      <c r="E32" s="18">
        <v>0.06</v>
      </c>
    </row>
    <row r="33" spans="1:6" ht="15">
      <c r="A33" s="9"/>
      <c r="B33" s="27" t="s">
        <v>27</v>
      </c>
      <c r="C33" s="27"/>
      <c r="D33" s="48">
        <f>D28+D30</f>
        <v>113.292</v>
      </c>
      <c r="E33" s="12">
        <f>E28+E30</f>
        <v>0.09</v>
      </c>
      <c r="F33" s="6"/>
    </row>
    <row r="34" spans="1:6" ht="15">
      <c r="A34" s="2"/>
      <c r="B34" s="2"/>
      <c r="C34" s="2"/>
      <c r="D34" s="2"/>
      <c r="E34" s="2"/>
      <c r="F34" s="2"/>
    </row>
    <row r="35" spans="1:6" ht="15">
      <c r="A35" s="34"/>
      <c r="B35" s="34"/>
      <c r="C35" s="34"/>
      <c r="D35" s="34"/>
      <c r="E35" s="34"/>
      <c r="F35" s="35"/>
    </row>
    <row r="36" spans="1:6" ht="105">
      <c r="A36" s="11" t="s">
        <v>28</v>
      </c>
      <c r="B36" s="11" t="s">
        <v>29</v>
      </c>
      <c r="C36" s="11" t="s">
        <v>30</v>
      </c>
      <c r="D36" s="11" t="s">
        <v>31</v>
      </c>
      <c r="E36" s="11" t="s">
        <v>47</v>
      </c>
      <c r="F36" s="11" t="s">
        <v>33</v>
      </c>
    </row>
    <row r="37" spans="1:6" ht="15">
      <c r="A37" s="11">
        <v>1</v>
      </c>
      <c r="B37" s="8" t="s">
        <v>123</v>
      </c>
      <c r="C37" s="11" t="s">
        <v>82</v>
      </c>
      <c r="D37" s="36">
        <v>514</v>
      </c>
      <c r="E37" s="50">
        <f>D37/12/$D$2</f>
        <v>0.4083253892596123</v>
      </c>
      <c r="F37" s="38">
        <v>1</v>
      </c>
    </row>
    <row r="38" spans="1:6" ht="15">
      <c r="A38" s="51"/>
      <c r="B38" s="51" t="s">
        <v>36</v>
      </c>
      <c r="C38" s="51"/>
      <c r="D38" s="52">
        <f>SUM(D37:D37)</f>
        <v>514</v>
      </c>
      <c r="E38" s="53">
        <f>SUM(E37:E37)</f>
        <v>0.4083253892596123</v>
      </c>
      <c r="F38" s="51"/>
    </row>
    <row r="41" spans="1:6" ht="15">
      <c r="A41" s="2"/>
      <c r="B41" s="1" t="s">
        <v>134</v>
      </c>
      <c r="C41" s="4"/>
      <c r="D41" s="5">
        <v>78.2</v>
      </c>
      <c r="E41" s="6" t="s">
        <v>2</v>
      </c>
      <c r="F41" s="2"/>
    </row>
    <row r="42" spans="1:6" ht="15">
      <c r="A42" s="2"/>
      <c r="B42" s="7"/>
      <c r="C42" s="2"/>
      <c r="D42" s="2"/>
      <c r="E42" s="2"/>
      <c r="F42" s="2"/>
    </row>
    <row r="43" spans="1:6" ht="30.75" customHeight="1">
      <c r="A43" s="138" t="s">
        <v>3</v>
      </c>
      <c r="B43" s="138"/>
      <c r="C43" s="138"/>
      <c r="D43" s="138"/>
      <c r="E43" s="138"/>
      <c r="F43" s="2"/>
    </row>
    <row r="44" spans="1:6" ht="7.5" customHeight="1">
      <c r="A44" s="1"/>
      <c r="B44" s="1"/>
      <c r="C44" s="1"/>
      <c r="D44" s="1"/>
      <c r="E44" s="1"/>
      <c r="F44" s="2"/>
    </row>
    <row r="45" spans="1:6" ht="71.25">
      <c r="A45" s="8"/>
      <c r="B45" s="9" t="s">
        <v>4</v>
      </c>
      <c r="C45" s="9" t="s">
        <v>5</v>
      </c>
      <c r="D45" s="9" t="s">
        <v>6</v>
      </c>
      <c r="E45" s="9" t="s">
        <v>7</v>
      </c>
      <c r="F45" s="2"/>
    </row>
    <row r="46" spans="1:6" ht="15">
      <c r="A46" s="140" t="s">
        <v>61</v>
      </c>
      <c r="B46" s="141"/>
      <c r="C46" s="142"/>
      <c r="D46" s="12">
        <f>SUM(D47:D48)</f>
        <v>444.08510469396646</v>
      </c>
      <c r="E46" s="12">
        <f>SUM(E47:E48)</f>
        <v>0.4732364713277562</v>
      </c>
      <c r="F46" s="19"/>
    </row>
    <row r="47" spans="1:6" ht="15.75" customHeight="1">
      <c r="A47" s="15">
        <v>1</v>
      </c>
      <c r="B47" s="8" t="s">
        <v>12</v>
      </c>
      <c r="C47" s="16" t="s">
        <v>13</v>
      </c>
      <c r="D47" s="17">
        <f>E47*$D$41*12</f>
        <v>406.2992723641047</v>
      </c>
      <c r="E47" s="20">
        <v>0.43297023909218313</v>
      </c>
      <c r="F47" s="21"/>
    </row>
    <row r="48" spans="1:6" ht="30">
      <c r="A48" s="15">
        <v>2</v>
      </c>
      <c r="B48" s="22" t="s">
        <v>14</v>
      </c>
      <c r="C48" s="22" t="s">
        <v>15</v>
      </c>
      <c r="D48" s="17">
        <f>E48*$D$41*12</f>
        <v>37.78583232986178</v>
      </c>
      <c r="E48" s="17">
        <v>0.04026623223557308</v>
      </c>
      <c r="F48" s="21"/>
    </row>
    <row r="49" spans="1:6" ht="15">
      <c r="A49" s="140" t="s">
        <v>64</v>
      </c>
      <c r="B49" s="143"/>
      <c r="C49" s="144"/>
      <c r="D49" s="23">
        <f>SUM(D50:D51)</f>
        <v>85.67563517824206</v>
      </c>
      <c r="E49" s="23">
        <f>SUM(E50:E51)</f>
        <v>0.09129969648150263</v>
      </c>
      <c r="F49" s="21"/>
    </row>
    <row r="50" spans="1:6" ht="15.75" customHeight="1">
      <c r="A50" s="15">
        <v>3</v>
      </c>
      <c r="B50" s="22" t="s">
        <v>17</v>
      </c>
      <c r="C50" s="22" t="s">
        <v>18</v>
      </c>
      <c r="D50" s="17">
        <f>E50*$D$41*12</f>
        <v>47.190229951249165</v>
      </c>
      <c r="E50" s="18">
        <v>0.05028796883125444</v>
      </c>
      <c r="F50" s="13"/>
    </row>
    <row r="51" spans="1:6" ht="60">
      <c r="A51" s="15">
        <v>4</v>
      </c>
      <c r="B51" s="22" t="s">
        <v>19</v>
      </c>
      <c r="C51" s="22" t="s">
        <v>18</v>
      </c>
      <c r="D51" s="17">
        <f>E51*$D$41*12</f>
        <v>38.485405226992896</v>
      </c>
      <c r="E51" s="17">
        <v>0.041011727650248186</v>
      </c>
      <c r="F51" s="2"/>
    </row>
    <row r="52" spans="1:6" ht="15">
      <c r="A52" s="145" t="s">
        <v>67</v>
      </c>
      <c r="B52" s="146"/>
      <c r="C52" s="146"/>
      <c r="D52" s="24">
        <f>SUM(D53:D54)</f>
        <v>283.5275040245299</v>
      </c>
      <c r="E52" s="24">
        <f>SUM(E53:E54)</f>
        <v>0.30213928391360817</v>
      </c>
      <c r="F52" s="2"/>
    </row>
    <row r="53" spans="1:6" ht="60">
      <c r="A53" s="15">
        <v>5</v>
      </c>
      <c r="B53" s="22" t="s">
        <v>86</v>
      </c>
      <c r="C53" s="22" t="s">
        <v>18</v>
      </c>
      <c r="D53" s="17">
        <f>E53*$D$41*12</f>
        <v>13.17696315459757</v>
      </c>
      <c r="E53" s="17">
        <v>0.01404194709569221</v>
      </c>
      <c r="F53" s="2"/>
    </row>
    <row r="54" spans="1:6" ht="60">
      <c r="A54" s="15">
        <v>6</v>
      </c>
      <c r="B54" s="22" t="s">
        <v>22</v>
      </c>
      <c r="C54" s="22" t="s">
        <v>87</v>
      </c>
      <c r="D54" s="17">
        <f>E54*$D$41*12</f>
        <v>270.35054086993233</v>
      </c>
      <c r="E54" s="20">
        <v>0.28809733681791594</v>
      </c>
      <c r="F54" s="2"/>
    </row>
    <row r="55" spans="1:6" ht="15">
      <c r="A55" s="145" t="s">
        <v>70</v>
      </c>
      <c r="B55" s="145"/>
      <c r="C55" s="145"/>
      <c r="D55" s="25">
        <f>SUM(D56)</f>
        <v>171.980568</v>
      </c>
      <c r="E55" s="25">
        <f>SUM(E56)</f>
        <v>0.18327</v>
      </c>
      <c r="F55" s="2"/>
    </row>
    <row r="56" spans="1:6" ht="15">
      <c r="A56" s="15">
        <v>7</v>
      </c>
      <c r="B56" s="22" t="s">
        <v>25</v>
      </c>
      <c r="C56" s="22" t="s">
        <v>26</v>
      </c>
      <c r="D56" s="17">
        <f>E56*$D$41*12</f>
        <v>171.980568</v>
      </c>
      <c r="E56" s="26">
        <v>0.18327</v>
      </c>
      <c r="F56" s="2"/>
    </row>
    <row r="57" spans="1:6" ht="15">
      <c r="A57" s="9"/>
      <c r="B57" s="27" t="s">
        <v>27</v>
      </c>
      <c r="C57" s="27"/>
      <c r="D57" s="48">
        <f>D46+D49+D52+D55</f>
        <v>985.2688118967385</v>
      </c>
      <c r="E57" s="12">
        <f>E46+E49+E52+E55</f>
        <v>1.049945451722867</v>
      </c>
      <c r="F57" s="6"/>
    </row>
    <row r="58" spans="1:6" ht="15">
      <c r="A58" s="29"/>
      <c r="B58" s="30"/>
      <c r="C58" s="31"/>
      <c r="D58" s="32"/>
      <c r="E58" s="33"/>
      <c r="F58" s="2"/>
    </row>
    <row r="59" spans="1:6" ht="29.25">
      <c r="A59" s="29"/>
      <c r="B59" s="30" t="s">
        <v>37</v>
      </c>
      <c r="C59" s="43">
        <f>D57</f>
        <v>985.2688118967385</v>
      </c>
      <c r="D59" s="43"/>
      <c r="E59" s="43"/>
      <c r="F59" s="42"/>
    </row>
    <row r="60" spans="1:6" ht="15">
      <c r="A60" s="29"/>
      <c r="B60" s="30" t="s">
        <v>38</v>
      </c>
      <c r="C60" s="44">
        <f>E57</f>
        <v>1.049945451722867</v>
      </c>
      <c r="D60" s="42"/>
      <c r="E60" s="42"/>
      <c r="F60" s="42"/>
    </row>
    <row r="61" spans="1:6" ht="3" customHeight="1">
      <c r="A61" s="29"/>
      <c r="B61" s="30"/>
      <c r="C61" s="44"/>
      <c r="D61" s="42"/>
      <c r="E61" s="42"/>
      <c r="F61" s="42"/>
    </row>
    <row r="62" spans="1:6" ht="15">
      <c r="A62" s="2"/>
      <c r="B62" s="2"/>
      <c r="C62" s="2"/>
      <c r="D62" s="2"/>
      <c r="E62" s="2"/>
      <c r="F62" s="2"/>
    </row>
    <row r="63" spans="1:6" ht="33" customHeight="1">
      <c r="A63" s="138" t="s">
        <v>39</v>
      </c>
      <c r="B63" s="138"/>
      <c r="C63" s="138"/>
      <c r="D63" s="138"/>
      <c r="E63" s="138"/>
      <c r="F63" s="138"/>
    </row>
    <row r="64" spans="1:6" ht="15">
      <c r="A64" s="1"/>
      <c r="B64" s="1"/>
      <c r="C64" s="1"/>
      <c r="D64" s="2"/>
      <c r="E64" s="2"/>
      <c r="F64" s="2"/>
    </row>
    <row r="65" spans="1:6" ht="71.25">
      <c r="A65" s="8"/>
      <c r="B65" s="9" t="s">
        <v>4</v>
      </c>
      <c r="C65" s="9" t="s">
        <v>5</v>
      </c>
      <c r="D65" s="9" t="s">
        <v>6</v>
      </c>
      <c r="E65" s="9" t="s">
        <v>7</v>
      </c>
      <c r="F65" s="2"/>
    </row>
    <row r="66" spans="1:5" ht="31.5" customHeight="1">
      <c r="A66" s="139" t="s">
        <v>40</v>
      </c>
      <c r="B66" s="139"/>
      <c r="C66" s="139"/>
      <c r="D66" s="12">
        <f>D67</f>
        <v>9.384</v>
      </c>
      <c r="E66" s="12">
        <f>E67</f>
        <v>0.01</v>
      </c>
    </row>
    <row r="67" spans="1:5" ht="30">
      <c r="A67" s="15">
        <v>1</v>
      </c>
      <c r="B67" s="45" t="s">
        <v>41</v>
      </c>
      <c r="C67" s="45" t="s">
        <v>42</v>
      </c>
      <c r="D67" s="17">
        <f>E67*12*$D$41</f>
        <v>9.384</v>
      </c>
      <c r="E67" s="46">
        <v>0.01</v>
      </c>
    </row>
    <row r="68" spans="1:5" ht="32.25" customHeight="1">
      <c r="A68" s="139" t="s">
        <v>43</v>
      </c>
      <c r="B68" s="139"/>
      <c r="C68" s="139"/>
      <c r="D68" s="12">
        <f>D69+D70</f>
        <v>75.072</v>
      </c>
      <c r="E68" s="12">
        <f>E69+E70</f>
        <v>0.08</v>
      </c>
    </row>
    <row r="69" spans="1:5" ht="45">
      <c r="A69" s="15">
        <v>2</v>
      </c>
      <c r="B69" s="45" t="s">
        <v>44</v>
      </c>
      <c r="C69" s="45" t="s">
        <v>45</v>
      </c>
      <c r="D69" s="17">
        <f>E69*12*$D$41</f>
        <v>18.768</v>
      </c>
      <c r="E69" s="46">
        <v>0.02</v>
      </c>
    </row>
    <row r="70" spans="1:5" ht="15">
      <c r="A70" s="15">
        <v>3</v>
      </c>
      <c r="B70" s="47" t="s">
        <v>46</v>
      </c>
      <c r="C70" s="8" t="s">
        <v>42</v>
      </c>
      <c r="D70" s="17">
        <f>E70*12*$D$41</f>
        <v>56.304</v>
      </c>
      <c r="E70" s="18">
        <v>0.06</v>
      </c>
    </row>
    <row r="71" spans="1:6" ht="15">
      <c r="A71" s="9"/>
      <c r="B71" s="27" t="s">
        <v>27</v>
      </c>
      <c r="C71" s="27"/>
      <c r="D71" s="48">
        <f>D66+D68</f>
        <v>84.456</v>
      </c>
      <c r="E71" s="12">
        <f>E66+E68</f>
        <v>0.09</v>
      </c>
      <c r="F71" s="6"/>
    </row>
    <row r="72" spans="1:6" ht="15">
      <c r="A72" s="2"/>
      <c r="B72" s="2"/>
      <c r="C72" s="2"/>
      <c r="D72" s="2"/>
      <c r="E72" s="2"/>
      <c r="F72" s="2"/>
    </row>
    <row r="73" spans="1:6" ht="15">
      <c r="A73" s="34"/>
      <c r="B73" s="34"/>
      <c r="C73" s="34"/>
      <c r="D73" s="34"/>
      <c r="E73" s="34"/>
      <c r="F73" s="35"/>
    </row>
    <row r="74" spans="1:6" ht="105">
      <c r="A74" s="11" t="s">
        <v>28</v>
      </c>
      <c r="B74" s="11" t="s">
        <v>29</v>
      </c>
      <c r="C74" s="11" t="s">
        <v>30</v>
      </c>
      <c r="D74" s="11" t="s">
        <v>31</v>
      </c>
      <c r="E74" s="11" t="s">
        <v>47</v>
      </c>
      <c r="F74" s="11" t="s">
        <v>33</v>
      </c>
    </row>
    <row r="75" spans="1:6" ht="15">
      <c r="A75" s="11">
        <v>1</v>
      </c>
      <c r="B75" s="8" t="s">
        <v>123</v>
      </c>
      <c r="C75" s="11" t="s">
        <v>82</v>
      </c>
      <c r="D75" s="36">
        <v>514</v>
      </c>
      <c r="E75" s="50">
        <f>D75/12/$D$41</f>
        <v>0.5477408354646206</v>
      </c>
      <c r="F75" s="38">
        <v>1</v>
      </c>
    </row>
    <row r="76" spans="1:6" ht="15">
      <c r="A76" s="51"/>
      <c r="B76" s="51" t="s">
        <v>36</v>
      </c>
      <c r="C76" s="51"/>
      <c r="D76" s="52">
        <f>SUM(D75:D75)</f>
        <v>514</v>
      </c>
      <c r="E76" s="53">
        <f>SUM(E75:E75)</f>
        <v>0.5477408354646206</v>
      </c>
      <c r="F76" s="51"/>
    </row>
    <row r="81" spans="2:3" ht="29.25">
      <c r="B81" s="30" t="s">
        <v>135</v>
      </c>
      <c r="C81" s="43">
        <f>C21+C59</f>
        <v>2612.167321139811</v>
      </c>
    </row>
  </sheetData>
  <mergeCells count="17">
    <mergeCell ref="A1:E1"/>
    <mergeCell ref="A4:E4"/>
    <mergeCell ref="A7:C7"/>
    <mergeCell ref="A13:C13"/>
    <mergeCell ref="A10:C10"/>
    <mergeCell ref="A30:C30"/>
    <mergeCell ref="A16:C16"/>
    <mergeCell ref="A25:F25"/>
    <mergeCell ref="A28:C28"/>
    <mergeCell ref="A43:E43"/>
    <mergeCell ref="A46:C46"/>
    <mergeCell ref="A49:C49"/>
    <mergeCell ref="A52:C52"/>
    <mergeCell ref="A55:C55"/>
    <mergeCell ref="A63:F63"/>
    <mergeCell ref="A66:C66"/>
    <mergeCell ref="A68:C6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2008-04-14T07:06:40Z</cp:lastPrinted>
  <dcterms:created xsi:type="dcterms:W3CDTF">2008-04-11T12:50:25Z</dcterms:created>
  <dcterms:modified xsi:type="dcterms:W3CDTF">2008-04-14T07:10:00Z</dcterms:modified>
  <cp:category/>
  <cp:version/>
  <cp:contentType/>
  <cp:contentStatus/>
</cp:coreProperties>
</file>