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88" windowWidth="18192" windowHeight="10380" tabRatio="840" activeTab="0"/>
  </bookViews>
  <sheets>
    <sheet name="Таблица 1 перечень МКД" sheetId="1" r:id="rId1"/>
    <sheet name="Таблица 2, 3 виды ремонта" sheetId="2" r:id="rId2"/>
  </sheets>
  <definedNames>
    <definedName name="_xlnm.Print_Titles" localSheetId="0">'Таблица 1 перечень МКД'!$19:$19</definedName>
    <definedName name="_xlnm.Print_Titles" localSheetId="1">'Таблица 2, 3 виды ремонта'!$14:$14</definedName>
    <definedName name="_xlnm.Print_Area" localSheetId="0">'Таблица 1 перечень МКД'!$A$1:$Q$264</definedName>
    <definedName name="_xlnm.Print_Area" localSheetId="1">'Таблица 2, 3 виды ремонта'!$A$1:$W$276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<sst xmlns="http://schemas.openxmlformats.org/spreadsheetml/2006/main" count="2612" uniqueCount="618">
  <si>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</si>
  <si>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</si>
  <si>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</si>
  <si>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</si>
  <si>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</si>
  <si>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</si>
  <si>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</si>
  <si>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</si>
  <si>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ввода в эксплуатацию</t>
  </si>
  <si>
    <t>в том числе жилых помещений, находящихся в собственности граждан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</si>
  <si>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</si>
  <si>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</si>
  <si>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</si>
  <si>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</si>
  <si>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</si>
  <si>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</si>
  <si>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</si>
  <si>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</si>
  <si>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</si>
  <si>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</si>
  <si>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</si>
  <si>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</si>
  <si>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</si>
  <si>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</si>
  <si>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</si>
  <si>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</si>
  <si>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</si>
  <si>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</si>
  <si>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</si>
  <si>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</si>
  <si>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</si>
  <si>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</si>
  <si>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</si>
  <si>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</si>
  <si>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</si>
  <si>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</si>
  <si>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</si>
  <si>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</si>
  <si>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</si>
  <si>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</si>
  <si>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</si>
  <si>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</si>
  <si>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</si>
  <si>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</si>
  <si>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</si>
  <si>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</si>
  <si>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</si>
  <si>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</si>
  <si>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</si>
  <si>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</si>
  <si>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</si>
  <si>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</si>
  <si>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</si>
  <si>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</si>
  <si>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</si>
  <si>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</si>
  <si>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</si>
  <si>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</si>
  <si>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</si>
  <si>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</si>
  <si>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</si>
  <si>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</si>
  <si>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</si>
  <si>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</si>
  <si>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</si>
  <si>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</si>
  <si>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</si>
  <si>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</si>
  <si>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</si>
  <si>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</si>
  <si>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</si>
  <si>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</si>
  <si>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</si>
  <si>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</si>
  <si>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</si>
  <si>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</si>
  <si>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</si>
  <si>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</si>
  <si>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</si>
  <si>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</si>
  <si>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</si>
  <si>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</si>
  <si>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</si>
  <si>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</si>
  <si>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</si>
  <si>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</si>
  <si>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</si>
  <si>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</si>
  <si>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</si>
  <si>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</si>
  <si>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</si>
  <si>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</si>
  <si>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</si>
  <si>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</si>
  <si>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</si>
  <si>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</si>
  <si>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</si>
  <si>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</si>
  <si>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</si>
  <si>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-</t>
  </si>
  <si>
    <t xml:space="preserve">Муниципальное образование «Город Саратов» </t>
  </si>
  <si>
    <t>Общая площадь МКД, всего</t>
  </si>
  <si>
    <t>всего</t>
  </si>
  <si>
    <t>кв. м</t>
  </si>
  <si>
    <t>Итого по муниципальному образованию «Город Саратов»</t>
  </si>
  <si>
    <t>за счет средств Фонда содействия реформированию жилищно-коммунального хозяйства</t>
  </si>
  <si>
    <t xml:space="preserve">за счет средств областного бюджета </t>
  </si>
  <si>
    <t>завершения последнего капитального ремонта</t>
  </si>
  <si>
    <t>до 1917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</si>
  <si>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</si>
  <si>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</si>
  <si>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</si>
  <si>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</si>
  <si>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</si>
  <si>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</si>
  <si>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</si>
  <si>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</si>
  <si>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</si>
  <si>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</si>
  <si>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</si>
  <si>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</si>
  <si>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</si>
  <si>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</si>
  <si>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</si>
  <si>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</si>
  <si>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</si>
  <si>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</si>
  <si>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</si>
  <si>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</si>
  <si>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</si>
  <si>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</si>
  <si>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</si>
  <si>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</si>
  <si>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</si>
  <si>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</si>
  <si>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</si>
  <si>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</si>
  <si>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</si>
  <si>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</si>
  <si>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</si>
  <si>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</si>
  <si>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</si>
  <si>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</si>
  <si>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</si>
  <si>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</si>
  <si>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</si>
  <si>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</si>
  <si>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</si>
  <si>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</si>
  <si>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</si>
  <si>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</si>
  <si>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</si>
  <si>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</si>
  <si>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</si>
  <si>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</si>
  <si>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</si>
  <si>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</si>
  <si>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</si>
  <si>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</si>
  <si>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</si>
  <si>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</si>
  <si>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</si>
  <si>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</si>
  <si>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</si>
  <si>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</si>
  <si>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</si>
  <si>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</si>
  <si>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</si>
  <si>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</si>
  <si>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</si>
  <si>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</si>
  <si>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</si>
  <si>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Таблица № 1</t>
  </si>
  <si>
    <t>Перечень многоквартирных домов, общее имущество которых подлежит капитальному ремонту</t>
  </si>
  <si>
    <t xml:space="preserve">к постановлению администрации </t>
  </si>
  <si>
    <t xml:space="preserve">муниципального образования </t>
  </si>
  <si>
    <t xml:space="preserve">«Город Саратов» </t>
  </si>
  <si>
    <t>Приложение</t>
  </si>
  <si>
    <t>Таблица № 2</t>
  </si>
  <si>
    <t>Реестр многоквартирных домов, которые подлежат капитальному ремонту</t>
  </si>
  <si>
    <t>№ п\п</t>
  </si>
  <si>
    <t>Стоимость капитального ремонта, 
всего</t>
  </si>
  <si>
    <t>Виды услуг и (или) работ, установленные частью 1 статьи 166 Жилищного кодекса Российской Федерации</t>
  </si>
  <si>
    <t>Виды услуг и (или) работ, установленные статьей 1 Закона Саратовской области «О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области»</t>
  </si>
  <si>
    <t>ремонт внутридомовых инженерных систем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</si>
  <si>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</si>
  <si>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</si>
  <si>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МКД</t>
  </si>
  <si>
    <t>ремонт фасада</t>
  </si>
  <si>
    <t>ремонт фундамента МКД</t>
  </si>
  <si>
    <t>утепление  фасада</t>
  </si>
  <si>
    <t>переустройство невентилируемой крыши на вентилируемую крышу, устройство выходов на кровлю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</si>
  <si>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</si>
  <si>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другие виды услуг и (или) работ</t>
  </si>
  <si>
    <t>электро-снабжения</t>
  </si>
  <si>
    <t>тепло-снабжения</t>
  </si>
  <si>
    <t>горячего водо-снабжения</t>
  </si>
  <si>
    <t>холодного водо-снабжения</t>
  </si>
  <si>
    <t>водо-отведения</t>
  </si>
  <si>
    <t>ед.</t>
  </si>
  <si>
    <t xml:space="preserve">руб. </t>
  </si>
  <si>
    <t>Муниципальное образование «Город Саратов»</t>
  </si>
  <si>
    <t>Таблица № 3</t>
  </si>
  <si>
    <t>Наименование муниципального образования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</si>
  <si>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</si>
  <si>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</si>
  <si>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</si>
  <si>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</si>
  <si>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</si>
  <si>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</si>
  <si>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IV 
квартал</t>
  </si>
  <si>
    <t xml:space="preserve">администрации муниципального образования «Город Саратов» 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</si>
  <si>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</si>
  <si>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</si>
  <si>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</si>
  <si>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</si>
  <si>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</si>
  <si>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</si>
  <si>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</si>
  <si>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</si>
  <si>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</si>
  <si>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</si>
  <si>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</si>
  <si>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</si>
  <si>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</si>
  <si>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</si>
  <si>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</si>
  <si>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</si>
  <si>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</si>
  <si>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</si>
  <si>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</si>
  <si>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</si>
  <si>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</si>
  <si>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</si>
  <si>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</si>
  <si>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</si>
  <si>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</si>
  <si>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</si>
  <si>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</si>
  <si>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</si>
  <si>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</si>
  <si>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</si>
  <si>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</si>
  <si>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</si>
  <si>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</si>
  <si>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</si>
  <si>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</si>
  <si>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</si>
  <si>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</si>
  <si>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</si>
  <si>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</si>
  <si>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</si>
  <si>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</si>
  <si>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</si>
  <si>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</si>
  <si>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</si>
  <si>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</si>
  <si>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</si>
  <si>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</si>
  <si>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</si>
  <si>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</si>
  <si>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</si>
  <si>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</si>
  <si>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</si>
  <si>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</si>
  <si>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</si>
  <si>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</si>
  <si>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</si>
  <si>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</si>
  <si>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</si>
  <si>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</si>
  <si>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</si>
  <si>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</si>
  <si>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</si>
  <si>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</si>
  <si>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</si>
  <si>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</si>
  <si>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</si>
  <si>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</si>
  <si>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</si>
  <si>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</si>
  <si>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</si>
  <si>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</si>
  <si>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</si>
  <si>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</si>
  <si>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</si>
  <si>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</si>
  <si>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</si>
  <si>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</si>
  <si>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</si>
  <si>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</si>
  <si>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</si>
  <si>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</si>
  <si>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</si>
  <si>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</si>
  <si>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</si>
  <si>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</si>
  <si>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газо-снаб-жения</t>
  </si>
  <si>
    <t>Площадь помещений МКД</t>
  </si>
  <si>
    <t>в том числе</t>
  </si>
  <si>
    <t>1961</t>
  </si>
  <si>
    <t>10.</t>
  </si>
  <si>
    <t>47.</t>
  </si>
  <si>
    <t>138.</t>
  </si>
  <si>
    <t>155.</t>
  </si>
  <si>
    <t>179.</t>
  </si>
  <si>
    <t>189.</t>
  </si>
  <si>
    <t>199.</t>
  </si>
  <si>
    <t>1917-1927</t>
  </si>
  <si>
    <t>1969</t>
  </si>
  <si>
    <t>1963</t>
  </si>
  <si>
    <t>1964</t>
  </si>
  <si>
    <t>1966</t>
  </si>
  <si>
    <t>1962</t>
  </si>
  <si>
    <t>1960</t>
  </si>
  <si>
    <t>1993-1997</t>
  </si>
  <si>
    <t>1938</t>
  </si>
  <si>
    <t>1958</t>
  </si>
  <si>
    <t>Капитальный ремонт крыши</t>
  </si>
  <si>
    <t>Капитальный ремонт внутридомовой инженерной системы горячего и холодного водоснабжения, ремонт крыши</t>
  </si>
  <si>
    <t>Капитальный ремонт крыши, ремонт фасада</t>
  </si>
  <si>
    <t>Капитальный ремонт внутридомовой инженерной системы электроснабжения</t>
  </si>
  <si>
    <t>Капитальный ремонт внутридомовой инженерной системы теплоснабжения</t>
  </si>
  <si>
    <t>Капитальный ремонт фасада</t>
  </si>
  <si>
    <t>Капитальный ремонт внутридомовой инженерной системы холодного водоснабжения, водоотведения, ремонт крыши</t>
  </si>
  <si>
    <t>Капитальный ремонт внутридомовой инженерной системы холодного водоснабжения, ремонт крыши</t>
  </si>
  <si>
    <t>Капитальный ремонт внутридомовой инженерной системы горячего и холодного водоснабжения</t>
  </si>
  <si>
    <t>Замена лифтового оборудования</t>
  </si>
  <si>
    <t>Капитальный ремонт крыши, ремонт фасада, разработка проектной документации</t>
  </si>
  <si>
    <t>Капитальный ремонт внутридомовой инженерной системы холодного водоснабжения, ремонт крыши, разработка проектной документации</t>
  </si>
  <si>
    <t>Капитальный ремонт внутридомовой инженерной системы холодного водоснабжения</t>
  </si>
  <si>
    <t>Капитальный ремонт внутридомовой инженерной системы горячего водоснабжения</t>
  </si>
  <si>
    <t>Капитальный ремонт крыши, разработка проектной документации</t>
  </si>
  <si>
    <t>Капитальный ремонт внутридомовой инженерной системы холодного водоснабжения, разработка проектной документации</t>
  </si>
  <si>
    <t>Усиление несущих строительных конструкций</t>
  </si>
  <si>
    <t>Капитальный ремонт внутридомовой инженерной системы электроснабжения, ремонт крыши</t>
  </si>
  <si>
    <t>1917</t>
  </si>
  <si>
    <t>1907</t>
  </si>
  <si>
    <t>Разработка проектной документации</t>
  </si>
  <si>
    <t>12.2017</t>
  </si>
  <si>
    <t>смешанные</t>
  </si>
  <si>
    <t>шлакоблочные</t>
  </si>
  <si>
    <t>деревянные</t>
  </si>
  <si>
    <t>щитовые</t>
  </si>
  <si>
    <t>Г. Саратов, 22-й квартал, д. № 1</t>
  </si>
  <si>
    <t>Г. Саратов, ул. Мелиораторов, д. № 1</t>
  </si>
  <si>
    <t>Г. Саратов, ул. Мелиораторов, д. № 22</t>
  </si>
  <si>
    <t>Г. Саратов, ул. Мелиораторов, д. № 12</t>
  </si>
  <si>
    <t>Г. Саратов, ул. Мелиораторов, д. № 11</t>
  </si>
  <si>
    <t>Г. Саратов, ул. Мелиораторов, д. № 10</t>
  </si>
  <si>
    <t>Г. Саратов, ул. Майская, д. № 12</t>
  </si>
  <si>
    <t>Г. Саратов, ул. Майская, д. № 20А</t>
  </si>
  <si>
    <t>Г. Саратов, ул. Майская, д. № 20Б</t>
  </si>
  <si>
    <t>Г. Саратов, ул. Майская, д. № 4</t>
  </si>
  <si>
    <t>Г. Саратов, Гусельский пер., д. № 2</t>
  </si>
  <si>
    <t>Г. Саратов, Гусельский пер., д. № 4</t>
  </si>
  <si>
    <t>Г. Саратов, пл. им. Орджоникидзе Г.К., д. № 11А</t>
  </si>
  <si>
    <t>Г. Саратов, пл. им. Орджоникидзе Г.К., д. № 11Б</t>
  </si>
  <si>
    <t>Г. Саратов, просп. им. 50 лет Октября, д. № 134А</t>
  </si>
  <si>
    <t>Г. Саратов, просп. им. 50 лет Октября, д. № 140Б</t>
  </si>
  <si>
    <t>Г. Саратов, просп. им. 50 лет Октября, д. № 15</t>
  </si>
  <si>
    <t>Г. Саратов, просп. им. 50 лет Октября, д. № 60</t>
  </si>
  <si>
    <t>Г. Саратов, просп. им. 50 лет Октября, д. № 74</t>
  </si>
  <si>
    <t>Г. Саратов, просп. им. Кирова С.М., д. № 14/16</t>
  </si>
  <si>
    <t>Г. Саратов, просп. им. Кирова С.М., д. № 28</t>
  </si>
  <si>
    <t>Г. Саратов, просп. им. Кирова С.М., д. № 3</t>
  </si>
  <si>
    <t>Г. Саратов, просп. им. Кирова С.М., д. № 38</t>
  </si>
  <si>
    <t>Г. Саратов, просп. им. Кирова С.М., д. № 46</t>
  </si>
  <si>
    <t>Г. Саратов, просп. им. Кирова С.М., д. № 48</t>
  </si>
  <si>
    <t>Г. Саратов, просп. им. Кирова С.М., д. № 50</t>
  </si>
  <si>
    <t>Г. Саратов, просп. Энтузиастов, д. № 31А</t>
  </si>
  <si>
    <t>Г. Саратов, просп. Энтузиастов, д. № 33Б</t>
  </si>
  <si>
    <t>Г. Саратов, 6-я Дачная, 6-й пр., д. № 2</t>
  </si>
  <si>
    <t>Г. Саратов, 6-я Дачная, 6-й пр., д. № 4</t>
  </si>
  <si>
    <t>Г. Саратов, Больничный пр., д. № 7</t>
  </si>
  <si>
    <t>Г. Саратов, Вишневый пр., д. № 6</t>
  </si>
  <si>
    <t>Г. Саратов, Деловой пр., д. № 11</t>
  </si>
  <si>
    <t>Г. Саратов, 5-й Динамовский пр., д. № 7А</t>
  </si>
  <si>
    <t>Г. Саратов, 5-й Лесопильный пр., д. № 39</t>
  </si>
  <si>
    <t>Г. Саратов, 3-й Солдатский пр., д. № 1Б</t>
  </si>
  <si>
    <t>Г. Саратов, 2-й Студеный пр., д. № 7</t>
  </si>
  <si>
    <t>Г. Саратов, 2-й Украинский пр., д. № 10</t>
  </si>
  <si>
    <t>Г. Саратов, 2-й Украинский пр., д. № 3</t>
  </si>
  <si>
    <t>Г. Саратов, 13-й Шелковичный пр., д. № 1/11</t>
  </si>
  <si>
    <t>Г. Саратов, территория учреждения УШ-382/33, д. № 3</t>
  </si>
  <si>
    <t>Г. Саратов, ул. Артиллерийская, д. № 21</t>
  </si>
  <si>
    <t>Г. Саратов, ул. Артиллерийская, д. № 23</t>
  </si>
  <si>
    <t>Г. Саратов, ул. Астраханская, д. № 118</t>
  </si>
  <si>
    <t>Г. Саратов, ул. Астраханская, д. № 140</t>
  </si>
  <si>
    <t>Г. Саратов, ул. Астраханская, д. № 150</t>
  </si>
  <si>
    <t>Г. Саратов, ул. Аткарская, д. № 39</t>
  </si>
  <si>
    <t>Г. Саратов, ул. Аткарская, д. № 39А</t>
  </si>
  <si>
    <t>Г. Саратов, ул. Аткарская, д. № 41А</t>
  </si>
  <si>
    <t>Г. Саратов, ул. Аткарская, д. № 43</t>
  </si>
  <si>
    <t>Г. Саратов, ул. Безымянная, д. № 6</t>
  </si>
  <si>
    <t>Г. Саратов, ул. Бережная, д. № 4</t>
  </si>
  <si>
    <t>Г. Саратов, ул. Бережная, д. № 6</t>
  </si>
  <si>
    <t>Г. Саратов, ул. Большая Горная, д. № 341</t>
  </si>
  <si>
    <t>Г. Саратов, ул. Буровая, д. № 24/1</t>
  </si>
  <si>
    <t>Г. Саратов, ул. Буровая, д. № 24А</t>
  </si>
  <si>
    <t>Г. Саратов, ул. Буровая, д. № 26</t>
  </si>
  <si>
    <t>Г. Саратов, ул. Васильковская, д. № 11</t>
  </si>
  <si>
    <t>Г. Саратов, ул. Вишневая, д. № 4</t>
  </si>
  <si>
    <t>Г. Саратов, ул. Вологодская, д. № 10</t>
  </si>
  <si>
    <t>Г. Саратов, ул. Вологодская, д. № 10/2</t>
  </si>
  <si>
    <t>Г. Саратов, ул. Вологодская, д. № 11</t>
  </si>
  <si>
    <t>Г. Саратов, ул. Гвардейская, д. № 42</t>
  </si>
  <si>
    <t>Г. Саратов, ул. Гвардейская, д. № 44</t>
  </si>
  <si>
    <t>Г. Саратов, ул. Геофизическая, д. № 42/48</t>
  </si>
  <si>
    <t>Г. Саратов, ул. Геофизическая, д. № 50/54</t>
  </si>
  <si>
    <t>Г. Саратов, ул. Деловая, д. № 15</t>
  </si>
  <si>
    <t>Г. Саратов, ул. ДОС, д. № 4</t>
  </si>
  <si>
    <t>Г. Саратов, ул. им. Емлютина Д.В., д. № 51</t>
  </si>
  <si>
    <t>Г. Саратов, ул. Железнодорожная, д. № 50</t>
  </si>
  <si>
    <t>Г. Саратов, ул. Заречная, д. № 29А</t>
  </si>
  <si>
    <t>Г. Саратов, ул. Зенитная, д. № 18</t>
  </si>
  <si>
    <t>Г. Саратов, ул. им. Азина В.М., д. № 11/1</t>
  </si>
  <si>
    <t>Г. Саратов, ул. им. Азина В.М., д. № 12</t>
  </si>
  <si>
    <t>Г. Саратов, ул. им. Азина В.М., д. № 20</t>
  </si>
  <si>
    <t>Г. Саратов, ул. им. Азина В.М., д. № 26</t>
  </si>
  <si>
    <t>Г. Саратов, ул. им. Азина В.М., д. № 57</t>
  </si>
  <si>
    <t>Г. Саратов, ул. им. Академика О.К. Антонова, д. № 7А</t>
  </si>
  <si>
    <t>Г. Саратов, ул. им. Вавилова Н.И., д. № 43</t>
  </si>
  <si>
    <t>Г. Саратов, ул. им. Вавилова Н.И., д. № 45</t>
  </si>
  <si>
    <t>Г. Саратов, ул. им. Вавилова Н.И., д. № 51/57</t>
  </si>
  <si>
    <t>Г. Саратов, ул. им. Дзержинского Ф.Э., д. № 39</t>
  </si>
  <si>
    <t>Г. Саратов, ул. им. Загороднева В.И., д. № 6</t>
  </si>
  <si>
    <t>Г. Саратов, ул. им. Загороднева В.И., д. № 8</t>
  </si>
  <si>
    <t>Г. Саратов, ул. им. Космодемьянской З.А., д. № 26</t>
  </si>
  <si>
    <t>Г. Саратов, ул. им. Космодемьянской З.А., д. № 7</t>
  </si>
  <si>
    <t>Г. Саратов, ул. им. Академика Навашина С.Г., д. № 10</t>
  </si>
  <si>
    <t>Г. Саратов, ул. им. Академика Навашина С.Г., д. № 11</t>
  </si>
  <si>
    <t>Г. Саратов, ул. им. Академика Навашина С.Г., д. № 14</t>
  </si>
  <si>
    <t>Г. Саратов, ул. им. Академика Навашина С.Г., д. № 3А</t>
  </si>
  <si>
    <t>Г. Саратов, ул. им. Академика Навашина С.Г., д. № 8</t>
  </si>
  <si>
    <t>Г. Саратов, ул. им. Орджоникидзе Г.К., д. № 2Д</t>
  </si>
  <si>
    <t>Г. Саратов, ул. им. Пономарева П.Т., д. № 2/8</t>
  </si>
  <si>
    <t>Г. Саратов, ул. им. Пугачева Е.И., д. № 1А</t>
  </si>
  <si>
    <t>Г. Саратов, ул. им. Радищева А.Н., д. № 1</t>
  </si>
  <si>
    <t>Г. Саратов, ул. им. Разина С.Т., д. № 30</t>
  </si>
  <si>
    <t>Г. Саратов, ул. им. Разина С.Т., д. № 41/43</t>
  </si>
  <si>
    <t>Г. Саратов, ул. им. Рахова В.Г., д. № 133/139</t>
  </si>
  <si>
    <t>Г. Саратов, ул. им. Слонова И.А., д. № 21</t>
  </si>
  <si>
    <t>Г. Саратов, ул. им. Тархова С.Ф., д. № 4</t>
  </si>
  <si>
    <t>Г. Саратов, ул. им. Тархова С.Ф., д. № 5</t>
  </si>
  <si>
    <t>Г. Саратов, ул. им. Тулайкова Н.М., д. № 3</t>
  </si>
  <si>
    <t>Г. Саратов, ул. им. Тулайкова Н.М., д. № 6</t>
  </si>
  <si>
    <t>Г. Саратов, ул. им. Чернышевского Н.Г., д. № 2</t>
  </si>
  <si>
    <t>Г. Саратов, ул. им. Чернышевского Н.Г., д. № 20</t>
  </si>
  <si>
    <t>Г. Саратов, ул. им. Шехурдина А.П., д. № 20</t>
  </si>
  <si>
    <t>Г. Саратов, ул. им. Шехурдина А.П., д. № 36</t>
  </si>
  <si>
    <t>Г. Саратов, ул. Ипподромная, д. № 11А</t>
  </si>
  <si>
    <t>Г. Саратов, ул. Ипподромная, д. № 19</t>
  </si>
  <si>
    <t>Г. Саратов, ул. Ипподромная, д. № 20</t>
  </si>
  <si>
    <t>Г. Саратов, ул. Каспийская, д. № 3</t>
  </si>
  <si>
    <t>Г. Саратов, ул. Каспийская, д. № 5</t>
  </si>
  <si>
    <t>Г. Саратов, ул. им. Киселева, д. № 6</t>
  </si>
  <si>
    <t>Г. Саратов, ул. им. Киселева, д. № 67</t>
  </si>
  <si>
    <t>Г. Саратов, ул. Курдюмская, д. № 86</t>
  </si>
  <si>
    <t>Г. Саратов, ул. Курдюмская, д. № 92/2</t>
  </si>
  <si>
    <t>Г. Саратов, ул. Ленинградская, д. № 12</t>
  </si>
  <si>
    <t>Г. Саратов, ул. Ленинградская, д. № 4</t>
  </si>
  <si>
    <t>Г. Саратов, ул. Лесная, д. № 3</t>
  </si>
  <si>
    <t>Г. Саратов, ул. Луговая, д. № 110/112</t>
  </si>
  <si>
    <t>Г. Саратов, ул. Луговая, д. № 86/92</t>
  </si>
  <si>
    <t>Г. Саратов, ул. Лунная, д. № 25</t>
  </si>
  <si>
    <t>Г. Саратов, ул. Малая Елшанская, д. № 4</t>
  </si>
  <si>
    <t>Г. Саратов, ул. Международная, д. № 26</t>
  </si>
  <si>
    <t>Г. Саратов, ул. Мельничная, д. № 65</t>
  </si>
  <si>
    <t>Г. Саратов, ул. Миллеровская, д. № 18</t>
  </si>
  <si>
    <t>Г. Саратов, ул. Миллеровская, д. № 49</t>
  </si>
  <si>
    <t>Г. Саратов, ул. Миллеровская, д. № 62А</t>
  </si>
  <si>
    <t>Г. Саратов, ул. Миллеровская, д. № 69</t>
  </si>
  <si>
    <t>Г. Саратов, ул. Мира, д. № 13А</t>
  </si>
  <si>
    <t>Г. Саратов, ул. Московская, д. № 171/44Г</t>
  </si>
  <si>
    <t>Г. Саратов, ул. Московская, д. № 183</t>
  </si>
  <si>
    <t>Г. Саратов, ул. Московская, д. № 185</t>
  </si>
  <si>
    <t>Г. Саратов, ул. Московская, д. № 36</t>
  </si>
  <si>
    <t>Г. Саратов, ул. Московская, д. № 39</t>
  </si>
  <si>
    <t>Г. Саратов, ул. Московская, д. № 42</t>
  </si>
  <si>
    <t>Г. Саратов, ул. Московская, д. № 47</t>
  </si>
  <si>
    <t>Г. Саратов, ул. Московская, д. № 48</t>
  </si>
  <si>
    <t>Г. Саратов, ул. Московская, д. № 50</t>
  </si>
  <si>
    <t>Г. Саратов, ул. Московская, д. № 51</t>
  </si>
  <si>
    <t>Г. Саратов, ул. Московская, д. № 52</t>
  </si>
  <si>
    <t>Г. Саратов, ул. Московская, д. № 54</t>
  </si>
  <si>
    <t>Г. Саратов, ул. Московская, д. № 56</t>
  </si>
  <si>
    <t>Г. Саратов, ул. Московская, д. № 57</t>
  </si>
  <si>
    <t>Г. Саратов, ул. Московская, д. № 59/30</t>
  </si>
  <si>
    <t>Г. Саратов, ул. Московская, д. № 62</t>
  </si>
  <si>
    <t>Г. Саратов, ул. Московская, д. № 79</t>
  </si>
  <si>
    <t>Г. Саратов, ул. Московская, д. № 83</t>
  </si>
  <si>
    <t>Г. Саратов, ул. Московская, д. № 85</t>
  </si>
  <si>
    <t>Г. Саратов, ул. Московская, д. № 86</t>
  </si>
  <si>
    <t>Г. Саратов, ул. Московская, д. № 87</t>
  </si>
  <si>
    <t>Г. Саратов, ул. Московская, д. № 88</t>
  </si>
  <si>
    <t>Г. Саратов, ул. Московская, д. № 89</t>
  </si>
  <si>
    <t>Г. Саратов, ул. 7-я Нагорная, д. № 8</t>
  </si>
  <si>
    <t>Г. Саратов, ул. Огородная, д. № 151</t>
  </si>
  <si>
    <t>Г. Саратов, ул. Огородная, д. № 169</t>
  </si>
  <si>
    <t>Г. Саратов, ул. Огородная, д. № 193</t>
  </si>
  <si>
    <t>Г. Саратов, ул. Огородная, д. № 198</t>
  </si>
  <si>
    <t>Г. Саратов, ул. Отрядная, д. № 14</t>
  </si>
  <si>
    <t>Г. Саратов, ул. Отрядная, д. № 9</t>
  </si>
  <si>
    <t>Г. Саратов, ул. Пензенская, д. № 1</t>
  </si>
  <si>
    <t>Г. Саратов, ул. Пензенская, д. № 1А</t>
  </si>
  <si>
    <t>Г. Саратов, ул. Пензенская, д. № 31</t>
  </si>
  <si>
    <t>Г. Саратов, ул. 2-я Прокатная, д. № 16</t>
  </si>
  <si>
    <t>Г. Саратов, ул. 2-я Прокатная, д. № 18</t>
  </si>
  <si>
    <t>Г. Саратов, ул. 2-я Прокатная, д. № 2</t>
  </si>
  <si>
    <t>Г. Саратов, ул. Прудная, д. № 7</t>
  </si>
  <si>
    <t>Г. Саратов, ул. Рабочая, д. № 134/142</t>
  </si>
  <si>
    <t>Г. Саратов, ул. Рабочая, д. № 157</t>
  </si>
  <si>
    <t>Г. Саратов, ул. Большая Садовая, д. № 149А</t>
  </si>
  <si>
    <t>Г. Саратов, ул. Большая Садовая, д. № 210</t>
  </si>
  <si>
    <t>Г. Саратов, ул. Большая Садовая, д. № 239</t>
  </si>
  <si>
    <t>Г. Саратов, ул. Свинцовая, д. № 10А</t>
  </si>
  <si>
    <t>Г. Саратов, ул. Свинцовая, д. № 5/15</t>
  </si>
  <si>
    <t>Г. Саратов, ул. Солнечная, д. № 6</t>
  </si>
  <si>
    <t>Г. Саратов, ул. Спартака, д. № 8А</t>
  </si>
  <si>
    <t>Г. Саратов, ул. Танкистов, д. № 100</t>
  </si>
  <si>
    <t>Г. Саратов, ул. Танкистов, д. № 65А</t>
  </si>
  <si>
    <t>Г. Саратов, ул. Телеграфная, д. № 13</t>
  </si>
  <si>
    <t>Г. Саратов, ул. Тракторная, д. № 17/29</t>
  </si>
  <si>
    <t>Г. Саратов, ул. Тульская, д. № 1</t>
  </si>
  <si>
    <t>Г. Саратов, ул. Тульская, д. № 10А</t>
  </si>
  <si>
    <t>Г. Саратов, ул. Тульская, д. № 13</t>
  </si>
  <si>
    <t>Г. Саратов, ул. Тульская, д. № 19</t>
  </si>
  <si>
    <t>Г. Саратов, ул. Тульская, д. № 21А</t>
  </si>
  <si>
    <t>Г. Саратов, ул. Тульская, д. № 3</t>
  </si>
  <si>
    <t>Г. Саратов, ул. Тульская, д. № 41</t>
  </si>
  <si>
    <t>Г. Саратов, ул. Тульская, д. № 43</t>
  </si>
  <si>
    <t>Г. Саратов, ул. Тульская, д. № 49</t>
  </si>
  <si>
    <t>Г. Саратов, ул. Украинская, д. № 10А</t>
  </si>
  <si>
    <t>Г. Саратов, ул. Украинская, д. № 6</t>
  </si>
  <si>
    <t>Г. Саратов, ул. Университетская, д. № 31/35</t>
  </si>
  <si>
    <t>Г. Саратов, ул. Университетская, д. № 33</t>
  </si>
  <si>
    <t>Г. Саратов, ул. Химическая, д. № 5</t>
  </si>
  <si>
    <t>Г. Саратов, ул. Шелковичная, д. № 116</t>
  </si>
  <si>
    <t>Г. Саратов, ул. Шелковичная, д. № 118</t>
  </si>
  <si>
    <t>Г. Саратов, ул. Шелковичная, д. № 120</t>
  </si>
  <si>
    <t>Г. Саратов, ул. Шелковичная, д. № 128</t>
  </si>
  <si>
    <t>Г. Саратов, ул. Шелковичная, д. № 130</t>
  </si>
  <si>
    <t>Г. Саратов, ул. Шелковичная, д. № 172</t>
  </si>
  <si>
    <t>Г. Саратов, ул. Шелковичная, д. № 182А</t>
  </si>
  <si>
    <t>Г. Саратов, ул. Шелковичная, д. № 190</t>
  </si>
  <si>
    <t>Г. Саратов, ул. Школьная, д. № 23</t>
  </si>
  <si>
    <t>Г. Саратов, ул. Энергетиков, д. № 5</t>
  </si>
  <si>
    <t>Г. Саратов, ул. Энергетиков, д. № 7</t>
  </si>
  <si>
    <t>Г. Саратов, ул. Южная, д. № 42А</t>
  </si>
  <si>
    <t>Г. Саратов, ул. Южная, д. № 59</t>
  </si>
  <si>
    <t>Г. Саратов, Московское шоссе, д. № 24</t>
  </si>
  <si>
    <t>Г. Саратов, Московское шоссе, д. № 5</t>
  </si>
  <si>
    <t>Г. Саратов, Московское шоссе, д. № 7</t>
  </si>
  <si>
    <t>Г. Саратов, Московское шоссе, д. № 9А</t>
  </si>
  <si>
    <t>Г. Саратов, Ново-Астраханское шоссе, д. № 62</t>
  </si>
  <si>
    <t>Г. Саратов, ул. Большая Садовая, д. № 166</t>
  </si>
  <si>
    <t>Г. Саратов, Мурманский пр., д. № 4А</t>
  </si>
  <si>
    <t>Г. Саратов, ул. им. Разина С.Т., д. № 61</t>
  </si>
  <si>
    <t>Г. Саратов, ул. Вокзальная, д. № 4А</t>
  </si>
  <si>
    <t>Г. Саратов, ул. им. Академика О.К. Антонова, д. № 9А</t>
  </si>
  <si>
    <t>Г. Саратов, ул. Советская, д. № 25А</t>
  </si>
  <si>
    <t>Г. Саратов, ул. Советская, д. № 27</t>
  </si>
  <si>
    <t>Г. Саратов, Московское шоссе, д. № 12Б</t>
  </si>
  <si>
    <t>Г. Саратов, Песчано-Уметский тракт, д. № 10А</t>
  </si>
  <si>
    <t>Г. Саратов, ул. 2-я Силикатная, д. № 77А</t>
  </si>
  <si>
    <t>Г. Саратов, ул. Новоузенская, д. № 83</t>
  </si>
  <si>
    <t>Г. Саратов, ул. Советская, д. № 29</t>
  </si>
  <si>
    <t>Г. Саратов, просп. Строителей, д. № 1</t>
  </si>
  <si>
    <t>Г. Саратов, ул. 3-я Поперечная, д. № 2</t>
  </si>
  <si>
    <t>Г. Саратов, просп. Строителей, д. № 29Б</t>
  </si>
  <si>
    <t>Г. Саратов, 2-й пр. Первомайского пос., д. № 26</t>
  </si>
  <si>
    <t>Г. Саратов, ул. Волжская, д. № 1</t>
  </si>
  <si>
    <t>Г. Саратов, ул. Волжская, д. № 13</t>
  </si>
  <si>
    <t>Г. Саратов, ул. Волжская, д. № 19</t>
  </si>
  <si>
    <t>Г. Саратов, ул. Волжская, д. № 21</t>
  </si>
  <si>
    <t>Г. Саратов, ул. Волжская, д. № 27Б</t>
  </si>
  <si>
    <t>Г. Саратов, ул. Комсомольская, д. № 48</t>
  </si>
  <si>
    <t>Г. Саратов, ул. Соборная, д. № 42</t>
  </si>
  <si>
    <t>Г. Саратов, ул. Ипподромная, д. № 16</t>
  </si>
  <si>
    <t>Г. Саратов, ул. Измайлова, д. № 3</t>
  </si>
  <si>
    <t>Г. Саратов, ул. Измайлова, д. № 5</t>
  </si>
  <si>
    <t>Г. Саратов, ул. Астраханская, д. № 3</t>
  </si>
  <si>
    <t>Краткосрочный план реализации в 2017 году  на территории муниципального образования «Город Саратов» областной программы капитального ремонта 
общего имущества в многоквартирных домах на территории Саратовской области</t>
  </si>
  <si>
    <t>Г. Саратов, Деловой пр., д. № 14</t>
  </si>
  <si>
    <t>Ф</t>
  </si>
  <si>
    <t>общ.к.</t>
  </si>
  <si>
    <t>Л</t>
  </si>
  <si>
    <t>О</t>
  </si>
  <si>
    <t>К</t>
  </si>
  <si>
    <t>З</t>
  </si>
  <si>
    <t>спецсчет</t>
  </si>
  <si>
    <t>В</t>
  </si>
  <si>
    <t>Ремонт фасада, усиление несущих строительных конструкций</t>
  </si>
  <si>
    <t>кирпич</t>
  </si>
  <si>
    <t>панель</t>
  </si>
  <si>
    <t>з</t>
  </si>
  <si>
    <t>Капитальный ремонт внутридомовой инженерной системы  холодного водоснабжения</t>
  </si>
  <si>
    <t>Капитальный  ремонт крыши</t>
  </si>
  <si>
    <t>Капитальный ремонт внутридомовой инженерной системы горячего  водоснабжения</t>
  </si>
  <si>
    <t>Замена лифтового оборудования, ремонт крыши</t>
  </si>
  <si>
    <t xml:space="preserve">Г. Саратов, ул. Аэропорт, д. № 4 </t>
  </si>
  <si>
    <t>Г. Саратов, пос. Новый Увек, ул. 2-я Линия, д. № 6</t>
  </si>
  <si>
    <t>Г. Саратов, ул. 2-я Садовая, д. № 106Б, корп. № 8</t>
  </si>
  <si>
    <t>Капитальный крыши</t>
  </si>
  <si>
    <t>Капитальный ремонт внутридомовой инженерной системы холодного водоснабжения, теплоснабжения</t>
  </si>
  <si>
    <t>да</t>
  </si>
  <si>
    <t xml:space="preserve"> Планируемые показатели выполнения работ по капитальному ремонту общего имущества в многоквартирных домах</t>
  </si>
  <si>
    <t>Н.Б.Даниленко</t>
  </si>
  <si>
    <r>
      <t xml:space="preserve">Капитальный </t>
    </r>
    <r>
      <rPr>
        <sz val="10.5"/>
        <color indexed="18"/>
        <rFont val="Times New Roman"/>
        <family val="1"/>
      </rPr>
      <t>ремонт крыши</t>
    </r>
    <r>
      <rPr>
        <sz val="10.5"/>
        <rFont val="Times New Roman"/>
        <family val="1"/>
      </rPr>
      <t>, ремонт фасада, разработка проектной документации</t>
    </r>
  </si>
  <si>
    <r>
      <t>Капитальный ремонт внутридомовой инженерной системы</t>
    </r>
    <r>
      <rPr>
        <sz val="10.5"/>
        <color indexed="10"/>
        <rFont val="Times New Roman"/>
        <family val="1"/>
      </rPr>
      <t xml:space="preserve"> </t>
    </r>
    <r>
      <rPr>
        <sz val="10.5"/>
        <rFont val="Times New Roman"/>
        <family val="1"/>
      </rPr>
      <t>холодного водоснабжения, ремонт крыши</t>
    </r>
  </si>
  <si>
    <r>
      <t>Капитальный ремонт внутридомовой инженерной системы</t>
    </r>
    <r>
      <rPr>
        <sz val="10.5"/>
        <color indexed="10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холодного водоснабжения</t>
    </r>
  </si>
  <si>
    <t>Председатель комитета по жилищно-коммунальному хозяйству</t>
  </si>
  <si>
    <t>125.</t>
  </si>
  <si>
    <t>126.</t>
  </si>
  <si>
    <t>127.</t>
  </si>
  <si>
    <t>128.</t>
  </si>
  <si>
    <t>от 17 февраля 2020 года № 267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</si>
</sst>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"/>
    <numFmt numFmtId="174" formatCode="#,##0.0"/>
    <numFmt numFmtId="175" formatCode="###\ ###\ ###\ ##0.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Tahoma"/>
      <family val="2"/>
    </font>
    <font>
      <sz val="10.5"/>
      <color indexed="8"/>
      <name val="Times New Roman"/>
      <family val="1"/>
    </font>
    <font>
      <sz val="10.5"/>
      <color indexed="18"/>
      <name val="Times New Roman"/>
      <family val="1"/>
    </font>
    <font>
      <sz val="10.5"/>
      <color indexed="10"/>
      <name val="Times New Roman"/>
      <family val="1"/>
    </font>
    <font>
      <sz val="10.5"/>
      <color indexed="8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  <font>
      <sz val="10.5"/>
      <color theme="1"/>
      <name val="Calibri"/>
      <family val="2"/>
    </font>
    <font>
      <sz val="10.5"/>
      <color theme="1"/>
      <name val="Tahoma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57" fillId="0" borderId="0" xfId="0" applyFont="1" applyFill="1" applyAlignment="1">
      <alignment wrapText="1"/>
    </xf>
    <xf numFmtId="0" fontId="57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57" fillId="0" borderId="12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 wrapText="1"/>
    </xf>
    <xf numFmtId="0" fontId="1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2" fontId="15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15" fillId="33" borderId="0" xfId="0" applyFont="1" applyFill="1" applyBorder="1" applyAlignment="1">
      <alignment wrapText="1"/>
    </xf>
    <xf numFmtId="2" fontId="15" fillId="33" borderId="0" xfId="0" applyNumberFormat="1" applyFont="1" applyFill="1" applyBorder="1" applyAlignment="1">
      <alignment horizontal="center"/>
    </xf>
    <xf numFmtId="1" fontId="15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 wrapText="1"/>
    </xf>
    <xf numFmtId="4" fontId="15" fillId="33" borderId="0" xfId="0" applyNumberFormat="1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center"/>
    </xf>
    <xf numFmtId="0" fontId="15" fillId="33" borderId="0" xfId="0" applyFont="1" applyFill="1" applyAlignment="1">
      <alignment wrapText="1"/>
    </xf>
    <xf numFmtId="0" fontId="15" fillId="33" borderId="0" xfId="0" applyFont="1" applyFill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2" fontId="60" fillId="0" borderId="10" xfId="0" applyNumberFormat="1" applyFont="1" applyFill="1" applyBorder="1" applyAlignment="1">
      <alignment horizontal="center" wrapText="1"/>
    </xf>
    <xf numFmtId="2" fontId="60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60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 hidden="1"/>
    </xf>
    <xf numFmtId="1" fontId="3" fillId="0" borderId="10" xfId="62" applyNumberFormat="1" applyFont="1" applyFill="1" applyBorder="1" applyAlignment="1">
      <alignment horizontal="center"/>
      <protection/>
    </xf>
    <xf numFmtId="0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54" applyNumberFormat="1" applyFont="1" applyFill="1" applyBorder="1" applyAlignment="1">
      <alignment horizontal="center"/>
      <protection/>
    </xf>
    <xf numFmtId="1" fontId="3" fillId="0" borderId="10" xfId="33" applyNumberFormat="1" applyFont="1" applyFill="1" applyBorder="1" applyAlignment="1">
      <alignment horizontal="center"/>
      <protection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2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" fontId="3" fillId="0" borderId="10" xfId="62" applyNumberFormat="1" applyFont="1" applyFill="1" applyBorder="1" applyAlignment="1">
      <alignment horizontal="center" wrapText="1"/>
      <protection/>
    </xf>
    <xf numFmtId="2" fontId="3" fillId="0" borderId="10" xfId="54" applyNumberFormat="1" applyFont="1" applyFill="1" applyBorder="1" applyAlignment="1">
      <alignment horizontal="center" wrapText="1"/>
      <protection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/>
    </xf>
    <xf numFmtId="0" fontId="15" fillId="33" borderId="0" xfId="0" applyFont="1" applyFill="1" applyAlignment="1">
      <alignment horizontal="center"/>
    </xf>
    <xf numFmtId="2" fontId="15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textRotation="90" wrapText="1"/>
    </xf>
    <xf numFmtId="0" fontId="15" fillId="33" borderId="16" xfId="0" applyFont="1" applyFill="1" applyBorder="1" applyAlignment="1">
      <alignment horizontal="center" vertical="center" textRotation="90" wrapText="1"/>
    </xf>
    <xf numFmtId="0" fontId="15" fillId="33" borderId="17" xfId="0" applyFont="1" applyFill="1" applyBorder="1" applyAlignment="1">
      <alignment horizontal="center" vertical="center" textRotation="90" wrapText="1"/>
    </xf>
    <xf numFmtId="0" fontId="15" fillId="33" borderId="18" xfId="0" applyFont="1" applyFill="1" applyBorder="1" applyAlignment="1">
      <alignment horizontal="center" vertical="center" textRotation="90" wrapText="1"/>
    </xf>
    <xf numFmtId="0" fontId="15" fillId="33" borderId="19" xfId="0" applyFont="1" applyFill="1" applyBorder="1" applyAlignment="1">
      <alignment horizontal="center" vertical="center" textRotation="90" wrapText="1"/>
    </xf>
    <xf numFmtId="0" fontId="15" fillId="33" borderId="20" xfId="0" applyFont="1" applyFill="1" applyBorder="1" applyAlignment="1">
      <alignment horizontal="center" vertical="center" textRotation="90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 wrapText="1"/>
    </xf>
    <xf numFmtId="0" fontId="15" fillId="33" borderId="15" xfId="0" applyFont="1" applyFill="1" applyBorder="1" applyAlignment="1">
      <alignment horizontal="center" vertical="center" textRotation="90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wrapText="1"/>
    </xf>
    <xf numFmtId="0" fontId="15" fillId="33" borderId="12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/>
    </xf>
    <xf numFmtId="0" fontId="1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Обычный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2" xfId="55"/>
    <cellStyle name="Обычный 2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2:U266"/>
  <sheetViews>
    <sheetView tabSelected="1" view="pageBreakPreview" zoomScaleSheetLayoutView="100" workbookViewId="0" topLeftCell="C1">
      <selection activeCell="N6" sqref="N6:Q6"/>
    </sheetView>
  </sheetViews>
  <sheetFormatPr defaultColWidth="9.140625" defaultRowHeight="15"/>
  <cols>
    <col min="1" max="1" width="6.421875" style="5" customWidth="1"/>
    <col min="2" max="2" width="62.421875" style="6" customWidth="1"/>
    <col min="3" max="3" width="9.8515625" style="7" customWidth="1"/>
    <col min="4" max="4" width="6.7109375" style="7" customWidth="1"/>
    <col min="5" max="5" width="14.28125" style="7" customWidth="1"/>
    <col min="6" max="7" width="5.7109375" style="7" customWidth="1"/>
    <col min="8" max="8" width="11.8515625" style="7" customWidth="1"/>
    <col min="9" max="9" width="13.00390625" style="7" customWidth="1"/>
    <col min="10" max="10" width="12.00390625" style="7" customWidth="1"/>
    <col min="11" max="11" width="10.421875" style="7" customWidth="1"/>
    <col min="12" max="12" width="14.8515625" style="7" customWidth="1"/>
    <col min="13" max="13" width="10.7109375" style="7" customWidth="1"/>
    <col min="14" max="14" width="7.421875" style="7" customWidth="1"/>
    <col min="15" max="15" width="7.57421875" style="7" customWidth="1"/>
    <col min="16" max="16" width="15.421875" style="7" customWidth="1"/>
    <col min="17" max="17" width="9.140625" style="7" customWidth="1"/>
    <col min="18" max="18" width="9.140625" style="7" hidden="1" customWidth="1"/>
    <col min="19" max="19" width="8.140625" style="53" hidden="1" customWidth="1"/>
    <col min="20" max="20" width="36.140625" style="5" hidden="1" customWidth="1"/>
    <col min="21" max="21" width="9.140625" style="5" hidden="1" customWidth="1"/>
    <col min="22" max="16384" width="9.140625" style="5" customWidth="1"/>
  </cols>
  <sheetData>
    <row r="2" spans="1:19" ht="12.75" customHeight="1">
      <c r="A2" s="107"/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9" t="s">
        <v>177</v>
      </c>
      <c r="O2" s="119"/>
      <c r="P2" s="119"/>
      <c r="Q2" s="119"/>
      <c r="R2" s="8"/>
      <c r="S2" s="9"/>
    </row>
    <row r="3" spans="1:19" ht="12.75" customHeight="1">
      <c r="A3" s="107"/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9" t="s">
        <v>174</v>
      </c>
      <c r="O3" s="119"/>
      <c r="P3" s="119"/>
      <c r="Q3" s="119"/>
      <c r="R3" s="8"/>
      <c r="S3" s="9"/>
    </row>
    <row r="4" spans="1:19" ht="12.75" customHeight="1">
      <c r="A4" s="10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9" t="s">
        <v>175</v>
      </c>
      <c r="O4" s="119"/>
      <c r="P4" s="119"/>
      <c r="Q4" s="119"/>
      <c r="R4" s="8"/>
      <c r="S4" s="9"/>
    </row>
    <row r="5" spans="1:19" ht="12.75" customHeight="1">
      <c r="A5" s="107"/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9" t="s">
        <v>176</v>
      </c>
      <c r="O5" s="119"/>
      <c r="P5" s="119"/>
      <c r="Q5" s="119"/>
      <c r="R5" s="8"/>
      <c r="S5" s="9"/>
    </row>
    <row r="6" spans="1:19" ht="12.75" customHeight="1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62" t="s">
        <v>617</v>
      </c>
      <c r="O6" s="123"/>
      <c r="P6" s="123"/>
      <c r="Q6" s="123"/>
      <c r="R6" s="10"/>
      <c r="S6" s="11"/>
    </row>
    <row r="7" spans="1:19" ht="12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23"/>
      <c r="O7" s="123"/>
      <c r="P7" s="123"/>
      <c r="Q7" s="123"/>
      <c r="R7" s="12"/>
      <c r="S7" s="13"/>
    </row>
    <row r="8" spans="1:19" ht="38.25" customHeight="1">
      <c r="A8" s="121" t="s">
        <v>583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4"/>
      <c r="S8" s="15"/>
    </row>
    <row r="9" spans="1:19" ht="12.75" customHeight="1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1"/>
      <c r="Q9" s="81"/>
      <c r="R9" s="16"/>
      <c r="S9" s="13"/>
    </row>
    <row r="10" spans="1:19" ht="12.75" customHeight="1">
      <c r="A10" s="78"/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122" t="s">
        <v>172</v>
      </c>
      <c r="Q10" s="122"/>
      <c r="R10" s="16"/>
      <c r="S10" s="13"/>
    </row>
    <row r="11" spans="1:19" ht="12.75" customHeight="1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  <c r="P11" s="81"/>
      <c r="Q11" s="81"/>
      <c r="R11" s="16"/>
      <c r="S11" s="13"/>
    </row>
    <row r="12" spans="1:19" ht="15" customHeight="1">
      <c r="A12" s="120" t="s">
        <v>173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7"/>
      <c r="S12" s="18"/>
    </row>
    <row r="13" spans="1:19" ht="1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17"/>
      <c r="S13" s="18"/>
    </row>
    <row r="14" spans="1:19" ht="1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17"/>
      <c r="S14" s="18"/>
    </row>
    <row r="15" spans="1:19" ht="42" customHeight="1">
      <c r="A15" s="116" t="s">
        <v>0</v>
      </c>
      <c r="B15" s="111" t="s">
        <v>1</v>
      </c>
      <c r="C15" s="111" t="s">
        <v>2</v>
      </c>
      <c r="D15" s="111"/>
      <c r="E15" s="110" t="s">
        <v>3</v>
      </c>
      <c r="F15" s="110" t="s">
        <v>4</v>
      </c>
      <c r="G15" s="110" t="s">
        <v>5</v>
      </c>
      <c r="H15" s="110" t="s">
        <v>101</v>
      </c>
      <c r="I15" s="111" t="s">
        <v>298</v>
      </c>
      <c r="J15" s="111"/>
      <c r="K15" s="110" t="s">
        <v>6</v>
      </c>
      <c r="L15" s="111" t="s">
        <v>205</v>
      </c>
      <c r="M15" s="111"/>
      <c r="N15" s="111"/>
      <c r="O15" s="111"/>
      <c r="P15" s="111"/>
      <c r="Q15" s="110" t="s">
        <v>7</v>
      </c>
      <c r="R15" s="19"/>
      <c r="S15" s="20"/>
    </row>
    <row r="16" spans="1:19" ht="21" customHeight="1">
      <c r="A16" s="117"/>
      <c r="B16" s="111"/>
      <c r="C16" s="110" t="s">
        <v>8</v>
      </c>
      <c r="D16" s="110" t="s">
        <v>107</v>
      </c>
      <c r="E16" s="110"/>
      <c r="F16" s="110"/>
      <c r="G16" s="110"/>
      <c r="H16" s="110"/>
      <c r="I16" s="110" t="s">
        <v>102</v>
      </c>
      <c r="J16" s="110" t="s">
        <v>9</v>
      </c>
      <c r="K16" s="110"/>
      <c r="L16" s="110" t="s">
        <v>102</v>
      </c>
      <c r="M16" s="111" t="s">
        <v>299</v>
      </c>
      <c r="N16" s="111"/>
      <c r="O16" s="111"/>
      <c r="P16" s="111"/>
      <c r="Q16" s="110"/>
      <c r="R16" s="19"/>
      <c r="S16" s="20"/>
    </row>
    <row r="17" spans="1:19" ht="171.75" customHeight="1">
      <c r="A17" s="117"/>
      <c r="B17" s="111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84" t="s">
        <v>105</v>
      </c>
      <c r="N17" s="84" t="s">
        <v>106</v>
      </c>
      <c r="O17" s="84" t="s">
        <v>10</v>
      </c>
      <c r="P17" s="84" t="s">
        <v>11</v>
      </c>
      <c r="Q17" s="110"/>
      <c r="R17" s="19"/>
      <c r="S17" s="20"/>
    </row>
    <row r="18" spans="1:19" ht="24" customHeight="1">
      <c r="A18" s="118"/>
      <c r="B18" s="111"/>
      <c r="C18" s="110"/>
      <c r="D18" s="110"/>
      <c r="E18" s="110"/>
      <c r="F18" s="110"/>
      <c r="G18" s="110"/>
      <c r="H18" s="83" t="s">
        <v>103</v>
      </c>
      <c r="I18" s="83" t="s">
        <v>103</v>
      </c>
      <c r="J18" s="83" t="s">
        <v>103</v>
      </c>
      <c r="K18" s="83" t="s">
        <v>12</v>
      </c>
      <c r="L18" s="83" t="s">
        <v>13</v>
      </c>
      <c r="M18" s="83" t="s">
        <v>13</v>
      </c>
      <c r="N18" s="83" t="s">
        <v>13</v>
      </c>
      <c r="O18" s="83" t="s">
        <v>13</v>
      </c>
      <c r="P18" s="83" t="s">
        <v>13</v>
      </c>
      <c r="Q18" s="110"/>
      <c r="R18" s="19"/>
      <c r="S18" s="20"/>
    </row>
    <row r="19" spans="1:19" ht="21" customHeight="1">
      <c r="A19" s="85">
        <v>1</v>
      </c>
      <c r="B19" s="86">
        <v>2</v>
      </c>
      <c r="C19" s="85">
        <v>3</v>
      </c>
      <c r="D19" s="85">
        <v>4</v>
      </c>
      <c r="E19" s="85">
        <v>5</v>
      </c>
      <c r="F19" s="85">
        <v>6</v>
      </c>
      <c r="G19" s="85">
        <v>7</v>
      </c>
      <c r="H19" s="85">
        <v>8</v>
      </c>
      <c r="I19" s="85">
        <v>9</v>
      </c>
      <c r="J19" s="85">
        <v>10</v>
      </c>
      <c r="K19" s="85">
        <v>11</v>
      </c>
      <c r="L19" s="85">
        <v>12</v>
      </c>
      <c r="M19" s="85">
        <v>13</v>
      </c>
      <c r="N19" s="85">
        <v>14</v>
      </c>
      <c r="O19" s="85">
        <v>15</v>
      </c>
      <c r="P19" s="85">
        <v>16</v>
      </c>
      <c r="Q19" s="85">
        <v>17</v>
      </c>
      <c r="R19" s="21"/>
      <c r="S19" s="22"/>
    </row>
    <row r="20" spans="1:19" ht="18.75" customHeight="1">
      <c r="A20" s="113" t="s">
        <v>100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5"/>
      <c r="R20" s="23"/>
      <c r="S20" s="24"/>
    </row>
    <row r="21" spans="1:19" ht="16.5" customHeight="1">
      <c r="A21" s="3" t="s">
        <v>15</v>
      </c>
      <c r="B21" s="87" t="s">
        <v>383</v>
      </c>
      <c r="C21" s="2">
        <v>1980</v>
      </c>
      <c r="D21" s="85" t="s">
        <v>99</v>
      </c>
      <c r="E21" s="2" t="s">
        <v>594</v>
      </c>
      <c r="F21" s="85">
        <v>5</v>
      </c>
      <c r="G21" s="85">
        <v>8</v>
      </c>
      <c r="H21" s="88">
        <v>7909.2</v>
      </c>
      <c r="I21" s="89">
        <v>6734.47</v>
      </c>
      <c r="J21" s="1">
        <f>I21-0</f>
        <v>6734.47</v>
      </c>
      <c r="K21" s="90">
        <v>310</v>
      </c>
      <c r="L21" s="89">
        <f>'Таблица 2, 3 виды ремонта'!C16</f>
        <v>1400000</v>
      </c>
      <c r="M21" s="1">
        <v>0</v>
      </c>
      <c r="N21" s="1">
        <v>0</v>
      </c>
      <c r="O21" s="1">
        <v>0</v>
      </c>
      <c r="P21" s="89">
        <f>L21</f>
        <v>1400000</v>
      </c>
      <c r="Q21" s="91" t="s">
        <v>339</v>
      </c>
      <c r="R21" s="23"/>
      <c r="S21" s="24"/>
    </row>
    <row r="22" spans="1:21" ht="16.5" customHeight="1">
      <c r="A22" s="3" t="s">
        <v>16</v>
      </c>
      <c r="B22" s="87" t="s">
        <v>344</v>
      </c>
      <c r="C22" s="2">
        <v>1957</v>
      </c>
      <c r="D22" s="85" t="s">
        <v>99</v>
      </c>
      <c r="E22" s="2" t="s">
        <v>594</v>
      </c>
      <c r="F22" s="85">
        <v>2</v>
      </c>
      <c r="G22" s="85">
        <v>2</v>
      </c>
      <c r="H22" s="88">
        <v>546.5</v>
      </c>
      <c r="I22" s="89">
        <v>358.6</v>
      </c>
      <c r="J22" s="89">
        <f>I22-87.4</f>
        <v>271.20000000000005</v>
      </c>
      <c r="K22" s="90">
        <v>28</v>
      </c>
      <c r="L22" s="89">
        <f>'Таблица 2, 3 виды ремонта'!C17</f>
        <v>100000</v>
      </c>
      <c r="M22" s="1">
        <v>0</v>
      </c>
      <c r="N22" s="1">
        <v>0</v>
      </c>
      <c r="O22" s="1">
        <v>0</v>
      </c>
      <c r="P22" s="89">
        <f aca="true" t="shared" si="0" ref="P22:P41">L22</f>
        <v>100000</v>
      </c>
      <c r="Q22" s="91" t="s">
        <v>339</v>
      </c>
      <c r="R22" s="25"/>
      <c r="S22" s="28" t="s">
        <v>590</v>
      </c>
      <c r="T22" s="29" t="s">
        <v>325</v>
      </c>
      <c r="U22" s="30" t="s">
        <v>586</v>
      </c>
    </row>
    <row r="23" spans="1:21" ht="16.5" customHeight="1">
      <c r="A23" s="3" t="s">
        <v>17</v>
      </c>
      <c r="B23" s="87" t="s">
        <v>571</v>
      </c>
      <c r="C23" s="90">
        <v>1911</v>
      </c>
      <c r="D23" s="85" t="s">
        <v>99</v>
      </c>
      <c r="E23" s="90" t="s">
        <v>342</v>
      </c>
      <c r="F23" s="90">
        <v>2</v>
      </c>
      <c r="G23" s="90">
        <v>2</v>
      </c>
      <c r="H23" s="89">
        <v>112.2</v>
      </c>
      <c r="I23" s="89">
        <v>106.5</v>
      </c>
      <c r="J23" s="89">
        <f>I23-47.1</f>
        <v>59.4</v>
      </c>
      <c r="K23" s="92">
        <v>8</v>
      </c>
      <c r="L23" s="89">
        <f>'Таблица 2, 3 виды ремонта'!C18</f>
        <v>350000</v>
      </c>
      <c r="M23" s="1">
        <v>0</v>
      </c>
      <c r="N23" s="1">
        <v>0</v>
      </c>
      <c r="O23" s="1">
        <v>0</v>
      </c>
      <c r="P23" s="89">
        <f t="shared" si="0"/>
        <v>350000</v>
      </c>
      <c r="Q23" s="91" t="s">
        <v>339</v>
      </c>
      <c r="R23" s="25"/>
      <c r="S23" s="28" t="s">
        <v>589</v>
      </c>
      <c r="T23" s="29" t="s">
        <v>326</v>
      </c>
      <c r="U23" s="30" t="s">
        <v>586</v>
      </c>
    </row>
    <row r="24" spans="1:21" ht="16.5" customHeight="1">
      <c r="A24" s="3" t="s">
        <v>18</v>
      </c>
      <c r="B24" s="87" t="s">
        <v>380</v>
      </c>
      <c r="C24" s="93">
        <v>1956</v>
      </c>
      <c r="D24" s="85" t="s">
        <v>99</v>
      </c>
      <c r="E24" s="2" t="s">
        <v>594</v>
      </c>
      <c r="F24" s="90">
        <v>4</v>
      </c>
      <c r="G24" s="90">
        <v>2</v>
      </c>
      <c r="H24" s="88">
        <v>3179</v>
      </c>
      <c r="I24" s="89">
        <v>1499</v>
      </c>
      <c r="J24" s="89">
        <f>I24-319.35</f>
        <v>1179.65</v>
      </c>
      <c r="K24" s="90">
        <v>70</v>
      </c>
      <c r="L24" s="89">
        <f>'Таблица 2, 3 виды ремонта'!C19</f>
        <v>1200000</v>
      </c>
      <c r="M24" s="1">
        <v>0</v>
      </c>
      <c r="N24" s="1">
        <v>0</v>
      </c>
      <c r="O24" s="1">
        <v>0</v>
      </c>
      <c r="P24" s="89">
        <f t="shared" si="0"/>
        <v>1200000</v>
      </c>
      <c r="Q24" s="91" t="s">
        <v>339</v>
      </c>
      <c r="R24" s="25"/>
      <c r="S24" s="28" t="s">
        <v>588</v>
      </c>
      <c r="T24" s="29" t="s">
        <v>597</v>
      </c>
      <c r="U24" s="30" t="s">
        <v>591</v>
      </c>
    </row>
    <row r="25" spans="1:21" ht="16.5" customHeight="1">
      <c r="A25" s="3" t="s">
        <v>19</v>
      </c>
      <c r="B25" s="87" t="s">
        <v>381</v>
      </c>
      <c r="C25" s="2">
        <v>1976</v>
      </c>
      <c r="D25" s="85" t="s">
        <v>99</v>
      </c>
      <c r="E25" s="2" t="s">
        <v>595</v>
      </c>
      <c r="F25" s="90">
        <v>5</v>
      </c>
      <c r="G25" s="90">
        <v>5</v>
      </c>
      <c r="H25" s="88">
        <v>4771.18</v>
      </c>
      <c r="I25" s="89">
        <v>3984.18</v>
      </c>
      <c r="J25" s="89">
        <f>I25-547.45</f>
        <v>3436.7299999999996</v>
      </c>
      <c r="K25" s="90">
        <v>199</v>
      </c>
      <c r="L25" s="89">
        <f>'Таблица 2, 3 виды ремонта'!C20</f>
        <v>2293706</v>
      </c>
      <c r="M25" s="1">
        <v>0</v>
      </c>
      <c r="N25" s="1">
        <v>0</v>
      </c>
      <c r="O25" s="1">
        <v>0</v>
      </c>
      <c r="P25" s="89">
        <f t="shared" si="0"/>
        <v>2293706</v>
      </c>
      <c r="Q25" s="91" t="s">
        <v>339</v>
      </c>
      <c r="R25" s="27"/>
      <c r="S25" s="26" t="s">
        <v>587</v>
      </c>
      <c r="T25" s="29" t="s">
        <v>320</v>
      </c>
      <c r="U25" s="31" t="s">
        <v>586</v>
      </c>
    </row>
    <row r="26" spans="1:21" ht="16.5" customHeight="1">
      <c r="A26" s="3" t="s">
        <v>20</v>
      </c>
      <c r="B26" s="87" t="s">
        <v>382</v>
      </c>
      <c r="C26" s="2">
        <v>1973</v>
      </c>
      <c r="D26" s="85" t="s">
        <v>99</v>
      </c>
      <c r="E26" s="2" t="s">
        <v>595</v>
      </c>
      <c r="F26" s="90">
        <v>5</v>
      </c>
      <c r="G26" s="90">
        <v>6</v>
      </c>
      <c r="H26" s="88">
        <v>4731.85</v>
      </c>
      <c r="I26" s="89">
        <v>3947.85</v>
      </c>
      <c r="J26" s="89">
        <f>I26-619.54</f>
        <v>3328.31</v>
      </c>
      <c r="K26" s="90">
        <v>194</v>
      </c>
      <c r="L26" s="89">
        <f>'Таблица 2, 3 виды ремонта'!C21</f>
        <v>606984</v>
      </c>
      <c r="M26" s="1">
        <v>0</v>
      </c>
      <c r="N26" s="1">
        <v>0</v>
      </c>
      <c r="O26" s="1">
        <v>0</v>
      </c>
      <c r="P26" s="89">
        <f t="shared" si="0"/>
        <v>606984</v>
      </c>
      <c r="Q26" s="91" t="s">
        <v>339</v>
      </c>
      <c r="R26" s="27"/>
      <c r="S26" s="26" t="s">
        <v>589</v>
      </c>
      <c r="T26" s="29" t="s">
        <v>319</v>
      </c>
      <c r="U26" s="31" t="s">
        <v>586</v>
      </c>
    </row>
    <row r="27" spans="1:21" ht="16.5" customHeight="1">
      <c r="A27" s="3" t="s">
        <v>21</v>
      </c>
      <c r="B27" s="87" t="s">
        <v>379</v>
      </c>
      <c r="C27" s="2">
        <v>1966</v>
      </c>
      <c r="D27" s="85" t="s">
        <v>99</v>
      </c>
      <c r="E27" s="2" t="s">
        <v>594</v>
      </c>
      <c r="F27" s="85">
        <v>5</v>
      </c>
      <c r="G27" s="85">
        <v>2</v>
      </c>
      <c r="H27" s="88">
        <v>1784</v>
      </c>
      <c r="I27" s="89">
        <v>1562</v>
      </c>
      <c r="J27" s="1">
        <f>I27-213.5</f>
        <v>1348.5</v>
      </c>
      <c r="K27" s="90">
        <v>75</v>
      </c>
      <c r="L27" s="89">
        <f>'Таблица 2, 3 виды ремонта'!C22</f>
        <v>18522.84</v>
      </c>
      <c r="M27" s="1">
        <v>0</v>
      </c>
      <c r="N27" s="1">
        <v>0</v>
      </c>
      <c r="O27" s="1">
        <v>0</v>
      </c>
      <c r="P27" s="89">
        <f t="shared" si="0"/>
        <v>18522.84</v>
      </c>
      <c r="Q27" s="91" t="s">
        <v>339</v>
      </c>
      <c r="R27" s="25"/>
      <c r="S27" s="28" t="s">
        <v>590</v>
      </c>
      <c r="T27" s="29" t="s">
        <v>318</v>
      </c>
      <c r="U27" s="30" t="s">
        <v>586</v>
      </c>
    </row>
    <row r="28" spans="1:21" ht="16.5" customHeight="1">
      <c r="A28" s="3" t="s">
        <v>22</v>
      </c>
      <c r="B28" s="87" t="s">
        <v>377</v>
      </c>
      <c r="C28" s="2">
        <v>1973</v>
      </c>
      <c r="D28" s="85" t="s">
        <v>99</v>
      </c>
      <c r="E28" s="2" t="s">
        <v>595</v>
      </c>
      <c r="F28" s="90">
        <v>9</v>
      </c>
      <c r="G28" s="90">
        <v>1</v>
      </c>
      <c r="H28" s="88">
        <v>4331.9</v>
      </c>
      <c r="I28" s="89">
        <v>2505.6</v>
      </c>
      <c r="J28" s="89">
        <f>I28-0</f>
        <v>2505.6</v>
      </c>
      <c r="K28" s="90">
        <v>201</v>
      </c>
      <c r="L28" s="89">
        <f>'Таблица 2, 3 виды ремонта'!C23</f>
        <v>1582666</v>
      </c>
      <c r="M28" s="1">
        <v>0</v>
      </c>
      <c r="N28" s="1">
        <v>0</v>
      </c>
      <c r="O28" s="1">
        <v>0</v>
      </c>
      <c r="P28" s="89">
        <f t="shared" si="0"/>
        <v>1582666</v>
      </c>
      <c r="Q28" s="91" t="s">
        <v>339</v>
      </c>
      <c r="R28" s="27"/>
      <c r="S28" s="26" t="s">
        <v>590</v>
      </c>
      <c r="T28" s="29" t="s">
        <v>326</v>
      </c>
      <c r="U28" s="31" t="s">
        <v>591</v>
      </c>
    </row>
    <row r="29" spans="1:21" ht="16.5" customHeight="1">
      <c r="A29" s="3" t="s">
        <v>23</v>
      </c>
      <c r="B29" s="87" t="s">
        <v>378</v>
      </c>
      <c r="C29" s="94">
        <v>1948</v>
      </c>
      <c r="D29" s="85" t="s">
        <v>99</v>
      </c>
      <c r="E29" s="2" t="s">
        <v>594</v>
      </c>
      <c r="F29" s="85">
        <v>2</v>
      </c>
      <c r="G29" s="85">
        <v>1</v>
      </c>
      <c r="H29" s="88">
        <v>303.19</v>
      </c>
      <c r="I29" s="89">
        <v>209.2</v>
      </c>
      <c r="J29" s="1">
        <f>I29-131.5</f>
        <v>77.69999999999999</v>
      </c>
      <c r="K29" s="90">
        <v>11</v>
      </c>
      <c r="L29" s="89">
        <f>'Таблица 2, 3 виды ремонта'!C24</f>
        <v>350000</v>
      </c>
      <c r="M29" s="1">
        <v>0</v>
      </c>
      <c r="N29" s="1">
        <v>0</v>
      </c>
      <c r="O29" s="1">
        <v>0</v>
      </c>
      <c r="P29" s="89">
        <f t="shared" si="0"/>
        <v>350000</v>
      </c>
      <c r="Q29" s="91" t="s">
        <v>339</v>
      </c>
      <c r="R29" s="27"/>
      <c r="S29" s="26" t="s">
        <v>590</v>
      </c>
      <c r="T29" s="29" t="s">
        <v>326</v>
      </c>
      <c r="U29" s="31" t="s">
        <v>591</v>
      </c>
    </row>
    <row r="30" spans="1:21" ht="16.5" customHeight="1">
      <c r="A30" s="3" t="s">
        <v>301</v>
      </c>
      <c r="B30" s="87" t="s">
        <v>372</v>
      </c>
      <c r="C30" s="95">
        <v>1954</v>
      </c>
      <c r="D30" s="85" t="s">
        <v>99</v>
      </c>
      <c r="E30" s="2" t="s">
        <v>594</v>
      </c>
      <c r="F30" s="90">
        <v>1</v>
      </c>
      <c r="G30" s="90">
        <v>2</v>
      </c>
      <c r="H30" s="88">
        <v>587</v>
      </c>
      <c r="I30" s="89">
        <v>438</v>
      </c>
      <c r="J30" s="89">
        <f>I30-0</f>
        <v>438</v>
      </c>
      <c r="K30" s="90">
        <v>20</v>
      </c>
      <c r="L30" s="89">
        <f>'Таблица 2, 3 виды ремонта'!C25</f>
        <v>16760</v>
      </c>
      <c r="M30" s="1">
        <v>0</v>
      </c>
      <c r="N30" s="1">
        <v>0</v>
      </c>
      <c r="O30" s="1">
        <v>0</v>
      </c>
      <c r="P30" s="89">
        <f t="shared" si="0"/>
        <v>16760</v>
      </c>
      <c r="Q30" s="91" t="s">
        <v>339</v>
      </c>
      <c r="R30" s="27"/>
      <c r="S30" s="28" t="s">
        <v>590</v>
      </c>
      <c r="T30" s="29" t="s">
        <v>318</v>
      </c>
      <c r="U30" s="30" t="s">
        <v>586</v>
      </c>
    </row>
    <row r="31" spans="1:21" ht="16.5" customHeight="1">
      <c r="A31" s="3" t="s">
        <v>24</v>
      </c>
      <c r="B31" s="87" t="s">
        <v>373</v>
      </c>
      <c r="C31" s="95">
        <v>1954</v>
      </c>
      <c r="D31" s="85" t="s">
        <v>99</v>
      </c>
      <c r="E31" s="2" t="s">
        <v>594</v>
      </c>
      <c r="F31" s="90">
        <v>1</v>
      </c>
      <c r="G31" s="90">
        <v>2</v>
      </c>
      <c r="H31" s="88">
        <v>587</v>
      </c>
      <c r="I31" s="89">
        <v>438</v>
      </c>
      <c r="J31" s="89">
        <f>I31-0</f>
        <v>438</v>
      </c>
      <c r="K31" s="90">
        <v>20</v>
      </c>
      <c r="L31" s="89">
        <f>'Таблица 2, 3 виды ремонта'!C26</f>
        <v>16760</v>
      </c>
      <c r="M31" s="1">
        <v>0</v>
      </c>
      <c r="N31" s="1">
        <v>0</v>
      </c>
      <c r="O31" s="1">
        <v>0</v>
      </c>
      <c r="P31" s="89">
        <f t="shared" si="0"/>
        <v>16760</v>
      </c>
      <c r="Q31" s="91" t="s">
        <v>339</v>
      </c>
      <c r="R31" s="27"/>
      <c r="S31" s="26" t="s">
        <v>587</v>
      </c>
      <c r="T31" s="29" t="s">
        <v>325</v>
      </c>
      <c r="U31" s="31" t="s">
        <v>586</v>
      </c>
    </row>
    <row r="32" spans="1:21" ht="16.5" customHeight="1">
      <c r="A32" s="3" t="s">
        <v>25</v>
      </c>
      <c r="B32" s="87" t="s">
        <v>374</v>
      </c>
      <c r="C32" s="94">
        <v>1954</v>
      </c>
      <c r="D32" s="85" t="s">
        <v>99</v>
      </c>
      <c r="E32" s="2" t="s">
        <v>594</v>
      </c>
      <c r="F32" s="90">
        <v>3</v>
      </c>
      <c r="G32" s="90">
        <v>2</v>
      </c>
      <c r="H32" s="88">
        <v>1449.8</v>
      </c>
      <c r="I32" s="89">
        <v>1012.7</v>
      </c>
      <c r="J32" s="89">
        <f>I32-228.26</f>
        <v>784.44</v>
      </c>
      <c r="K32" s="90">
        <v>47</v>
      </c>
      <c r="L32" s="89">
        <f>'Таблица 2, 3 виды ремонта'!C27</f>
        <v>563999.19</v>
      </c>
      <c r="M32" s="1">
        <v>0</v>
      </c>
      <c r="N32" s="1">
        <v>0</v>
      </c>
      <c r="O32" s="1">
        <v>0</v>
      </c>
      <c r="P32" s="89">
        <f t="shared" si="0"/>
        <v>563999.19</v>
      </c>
      <c r="Q32" s="91" t="s">
        <v>339</v>
      </c>
      <c r="R32" s="25"/>
      <c r="S32" s="28" t="s">
        <v>590</v>
      </c>
      <c r="T32" s="29" t="s">
        <v>598</v>
      </c>
      <c r="U32" s="30" t="s">
        <v>591</v>
      </c>
    </row>
    <row r="33" spans="1:21" ht="16.5" customHeight="1">
      <c r="A33" s="3" t="s">
        <v>26</v>
      </c>
      <c r="B33" s="87" t="s">
        <v>375</v>
      </c>
      <c r="C33" s="2">
        <v>1959</v>
      </c>
      <c r="D33" s="85" t="s">
        <v>99</v>
      </c>
      <c r="E33" s="2" t="s">
        <v>594</v>
      </c>
      <c r="F33" s="90">
        <v>2</v>
      </c>
      <c r="G33" s="90">
        <v>2</v>
      </c>
      <c r="H33" s="88">
        <v>1715.71</v>
      </c>
      <c r="I33" s="89">
        <v>862.11</v>
      </c>
      <c r="J33" s="89">
        <f>I33-92.8</f>
        <v>769.3100000000001</v>
      </c>
      <c r="K33" s="90">
        <v>48</v>
      </c>
      <c r="L33" s="89">
        <f>'Таблица 2, 3 виды ремонта'!C28</f>
        <v>500000</v>
      </c>
      <c r="M33" s="1">
        <v>0</v>
      </c>
      <c r="N33" s="1">
        <v>0</v>
      </c>
      <c r="O33" s="1">
        <v>0</v>
      </c>
      <c r="P33" s="89">
        <f t="shared" si="0"/>
        <v>500000</v>
      </c>
      <c r="Q33" s="91" t="s">
        <v>339</v>
      </c>
      <c r="R33" s="27"/>
      <c r="S33" s="26" t="s">
        <v>590</v>
      </c>
      <c r="T33" s="29" t="s">
        <v>325</v>
      </c>
      <c r="U33" s="31" t="s">
        <v>586</v>
      </c>
    </row>
    <row r="34" spans="1:21" ht="16.5" customHeight="1">
      <c r="A34" s="3" t="s">
        <v>27</v>
      </c>
      <c r="B34" s="87" t="s">
        <v>354</v>
      </c>
      <c r="C34" s="2">
        <v>1957</v>
      </c>
      <c r="D34" s="85" t="s">
        <v>99</v>
      </c>
      <c r="E34" s="2" t="s">
        <v>594</v>
      </c>
      <c r="F34" s="90">
        <v>2</v>
      </c>
      <c r="G34" s="90">
        <v>2</v>
      </c>
      <c r="H34" s="88">
        <v>2241</v>
      </c>
      <c r="I34" s="89">
        <v>359.1</v>
      </c>
      <c r="J34" s="89">
        <f>I34-112.3</f>
        <v>246.8</v>
      </c>
      <c r="K34" s="90">
        <v>17</v>
      </c>
      <c r="L34" s="89">
        <f>'Таблица 2, 3 виды ремонта'!C29</f>
        <v>1250000</v>
      </c>
      <c r="M34" s="1">
        <v>0</v>
      </c>
      <c r="N34" s="1">
        <v>0</v>
      </c>
      <c r="O34" s="1">
        <v>0</v>
      </c>
      <c r="P34" s="89">
        <f t="shared" si="0"/>
        <v>1250000</v>
      </c>
      <c r="Q34" s="91" t="s">
        <v>339</v>
      </c>
      <c r="R34" s="27"/>
      <c r="S34" s="26" t="s">
        <v>587</v>
      </c>
      <c r="T34" s="29" t="s">
        <v>325</v>
      </c>
      <c r="U34" s="31" t="s">
        <v>586</v>
      </c>
    </row>
    <row r="35" spans="1:21" ht="16.5" customHeight="1">
      <c r="A35" s="3" t="s">
        <v>28</v>
      </c>
      <c r="B35" s="87" t="s">
        <v>355</v>
      </c>
      <c r="C35" s="2">
        <v>1957</v>
      </c>
      <c r="D35" s="85" t="s">
        <v>99</v>
      </c>
      <c r="E35" s="2" t="s">
        <v>594</v>
      </c>
      <c r="F35" s="90">
        <v>2</v>
      </c>
      <c r="G35" s="90">
        <v>2</v>
      </c>
      <c r="H35" s="88">
        <v>2151</v>
      </c>
      <c r="I35" s="89">
        <v>388.4</v>
      </c>
      <c r="J35" s="89">
        <f>I35-131.4</f>
        <v>257</v>
      </c>
      <c r="K35" s="90">
        <v>25</v>
      </c>
      <c r="L35" s="89">
        <f>'Таблица 2, 3 виды ремонта'!C30</f>
        <v>1250000</v>
      </c>
      <c r="M35" s="1">
        <v>0</v>
      </c>
      <c r="N35" s="1">
        <v>0</v>
      </c>
      <c r="O35" s="1">
        <v>0</v>
      </c>
      <c r="P35" s="89">
        <f t="shared" si="0"/>
        <v>1250000</v>
      </c>
      <c r="Q35" s="91" t="s">
        <v>339</v>
      </c>
      <c r="R35" s="27"/>
      <c r="S35" s="26" t="s">
        <v>587</v>
      </c>
      <c r="T35" s="29" t="s">
        <v>324</v>
      </c>
      <c r="U35" s="31" t="s">
        <v>586</v>
      </c>
    </row>
    <row r="36" spans="1:21" ht="16.5" customHeight="1">
      <c r="A36" s="3" t="s">
        <v>29</v>
      </c>
      <c r="B36" s="87" t="s">
        <v>376</v>
      </c>
      <c r="C36" s="96">
        <v>1952</v>
      </c>
      <c r="D36" s="85" t="s">
        <v>99</v>
      </c>
      <c r="E36" s="2" t="s">
        <v>594</v>
      </c>
      <c r="F36" s="90">
        <v>2</v>
      </c>
      <c r="G36" s="90">
        <v>1</v>
      </c>
      <c r="H36" s="88">
        <v>1625.21</v>
      </c>
      <c r="I36" s="89">
        <v>758.11</v>
      </c>
      <c r="J36" s="89">
        <f>I36-16.4</f>
        <v>741.71</v>
      </c>
      <c r="K36" s="90">
        <v>44</v>
      </c>
      <c r="L36" s="89">
        <f>'Таблица 2, 3 виды ремонта'!C31</f>
        <v>750000</v>
      </c>
      <c r="M36" s="1">
        <v>0</v>
      </c>
      <c r="N36" s="1">
        <v>0</v>
      </c>
      <c r="O36" s="1">
        <v>0</v>
      </c>
      <c r="P36" s="89">
        <f t="shared" si="0"/>
        <v>750000</v>
      </c>
      <c r="Q36" s="91" t="s">
        <v>339</v>
      </c>
      <c r="R36" s="27"/>
      <c r="S36" s="26" t="s">
        <v>587</v>
      </c>
      <c r="T36" s="29" t="s">
        <v>325</v>
      </c>
      <c r="U36" s="31" t="s">
        <v>586</v>
      </c>
    </row>
    <row r="37" spans="1:21" ht="16.5" customHeight="1">
      <c r="A37" s="3" t="s">
        <v>30</v>
      </c>
      <c r="B37" s="87" t="s">
        <v>584</v>
      </c>
      <c r="C37" s="96">
        <v>1954</v>
      </c>
      <c r="D37" s="85" t="s">
        <v>99</v>
      </c>
      <c r="E37" s="2" t="s">
        <v>594</v>
      </c>
      <c r="F37" s="90">
        <v>2</v>
      </c>
      <c r="G37" s="90">
        <v>1</v>
      </c>
      <c r="H37" s="88">
        <v>1044.14</v>
      </c>
      <c r="I37" s="89">
        <v>484.61</v>
      </c>
      <c r="J37" s="89">
        <f>I37-68.54</f>
        <v>416.07</v>
      </c>
      <c r="K37" s="90">
        <v>22</v>
      </c>
      <c r="L37" s="89">
        <f>'Таблица 2, 3 виды ремонта'!C32</f>
        <v>400000</v>
      </c>
      <c r="M37" s="1">
        <v>0</v>
      </c>
      <c r="N37" s="1">
        <v>0</v>
      </c>
      <c r="O37" s="1">
        <v>0</v>
      </c>
      <c r="P37" s="89">
        <f t="shared" si="0"/>
        <v>400000</v>
      </c>
      <c r="Q37" s="91" t="s">
        <v>339</v>
      </c>
      <c r="R37" s="27" t="s">
        <v>606</v>
      </c>
      <c r="S37" s="26" t="s">
        <v>587</v>
      </c>
      <c r="T37" s="29" t="s">
        <v>329</v>
      </c>
      <c r="U37" s="31" t="s">
        <v>586</v>
      </c>
    </row>
    <row r="38" spans="1:21" ht="16.5" customHeight="1">
      <c r="A38" s="3" t="s">
        <v>31</v>
      </c>
      <c r="B38" s="87" t="s">
        <v>563</v>
      </c>
      <c r="C38" s="90">
        <v>1978</v>
      </c>
      <c r="D38" s="85" t="s">
        <v>99</v>
      </c>
      <c r="E38" s="2" t="s">
        <v>594</v>
      </c>
      <c r="F38" s="90">
        <v>3</v>
      </c>
      <c r="G38" s="90">
        <v>2</v>
      </c>
      <c r="H38" s="89">
        <v>5459.9</v>
      </c>
      <c r="I38" s="89">
        <v>3019.5</v>
      </c>
      <c r="J38" s="89">
        <f>I38-1087</f>
        <v>1932.5</v>
      </c>
      <c r="K38" s="92">
        <v>130</v>
      </c>
      <c r="L38" s="89">
        <f>'Таблица 2, 3 виды ремонта'!C33</f>
        <v>1359285</v>
      </c>
      <c r="M38" s="1">
        <v>0</v>
      </c>
      <c r="N38" s="1">
        <v>0</v>
      </c>
      <c r="O38" s="1">
        <v>0</v>
      </c>
      <c r="P38" s="89">
        <f t="shared" si="0"/>
        <v>1359285</v>
      </c>
      <c r="Q38" s="91" t="s">
        <v>339</v>
      </c>
      <c r="R38" s="27"/>
      <c r="S38" s="26" t="s">
        <v>587</v>
      </c>
      <c r="T38" s="29" t="s">
        <v>319</v>
      </c>
      <c r="U38" s="31" t="s">
        <v>586</v>
      </c>
    </row>
    <row r="39" spans="1:21" ht="16.5" customHeight="1">
      <c r="A39" s="3" t="s">
        <v>32</v>
      </c>
      <c r="B39" s="87" t="s">
        <v>551</v>
      </c>
      <c r="C39" s="2">
        <v>1959</v>
      </c>
      <c r="D39" s="85" t="s">
        <v>99</v>
      </c>
      <c r="E39" s="2" t="s">
        <v>594</v>
      </c>
      <c r="F39" s="90">
        <v>2</v>
      </c>
      <c r="G39" s="90">
        <v>2</v>
      </c>
      <c r="H39" s="88">
        <v>790</v>
      </c>
      <c r="I39" s="89">
        <v>683.4</v>
      </c>
      <c r="J39" s="89">
        <f>I39-379</f>
        <v>304.4</v>
      </c>
      <c r="K39" s="90">
        <v>31</v>
      </c>
      <c r="L39" s="89">
        <f>'Таблица 2, 3 виды ремонта'!C34</f>
        <v>750000</v>
      </c>
      <c r="M39" s="1">
        <v>0</v>
      </c>
      <c r="N39" s="1">
        <v>0</v>
      </c>
      <c r="O39" s="1">
        <v>0</v>
      </c>
      <c r="P39" s="89">
        <f t="shared" si="0"/>
        <v>750000</v>
      </c>
      <c r="Q39" s="91" t="s">
        <v>339</v>
      </c>
      <c r="R39" s="27"/>
      <c r="S39" s="32" t="s">
        <v>587</v>
      </c>
      <c r="T39" s="29" t="s">
        <v>318</v>
      </c>
      <c r="U39" s="31" t="s">
        <v>586</v>
      </c>
    </row>
    <row r="40" spans="1:21" ht="16.5" customHeight="1">
      <c r="A40" s="3" t="s">
        <v>33</v>
      </c>
      <c r="B40" s="87" t="s">
        <v>552</v>
      </c>
      <c r="C40" s="2">
        <v>1952</v>
      </c>
      <c r="D40" s="85" t="s">
        <v>99</v>
      </c>
      <c r="E40" s="2" t="s">
        <v>594</v>
      </c>
      <c r="F40" s="90">
        <v>3</v>
      </c>
      <c r="G40" s="90">
        <v>3</v>
      </c>
      <c r="H40" s="88">
        <v>2452.4</v>
      </c>
      <c r="I40" s="89">
        <v>1575.2</v>
      </c>
      <c r="J40" s="89">
        <f>I40-480</f>
        <v>1095.2</v>
      </c>
      <c r="K40" s="90">
        <v>68</v>
      </c>
      <c r="L40" s="89">
        <f>'Таблица 2, 3 виды ремонта'!C35</f>
        <v>700000</v>
      </c>
      <c r="M40" s="1">
        <v>0</v>
      </c>
      <c r="N40" s="1">
        <v>0</v>
      </c>
      <c r="O40" s="1">
        <v>0</v>
      </c>
      <c r="P40" s="89">
        <f t="shared" si="0"/>
        <v>700000</v>
      </c>
      <c r="Q40" s="91" t="s">
        <v>339</v>
      </c>
      <c r="R40" s="27"/>
      <c r="S40" s="26" t="s">
        <v>587</v>
      </c>
      <c r="T40" s="29" t="s">
        <v>325</v>
      </c>
      <c r="U40" s="31" t="s">
        <v>586</v>
      </c>
    </row>
    <row r="41" spans="1:21" ht="16.5" customHeight="1">
      <c r="A41" s="3" t="s">
        <v>34</v>
      </c>
      <c r="B41" s="87" t="s">
        <v>553</v>
      </c>
      <c r="C41" s="2">
        <v>1954</v>
      </c>
      <c r="D41" s="85" t="s">
        <v>99</v>
      </c>
      <c r="E41" s="2" t="s">
        <v>594</v>
      </c>
      <c r="F41" s="90">
        <v>3</v>
      </c>
      <c r="G41" s="90">
        <v>3</v>
      </c>
      <c r="H41" s="88">
        <v>2624.4</v>
      </c>
      <c r="I41" s="89">
        <v>1760.8</v>
      </c>
      <c r="J41" s="89">
        <f>I41-96.5</f>
        <v>1664.3</v>
      </c>
      <c r="K41" s="90">
        <v>59</v>
      </c>
      <c r="L41" s="89">
        <f>'Таблица 2, 3 виды ремонта'!C36</f>
        <v>700000</v>
      </c>
      <c r="M41" s="1">
        <v>0</v>
      </c>
      <c r="N41" s="1">
        <v>0</v>
      </c>
      <c r="O41" s="1">
        <v>0</v>
      </c>
      <c r="P41" s="89">
        <f t="shared" si="0"/>
        <v>700000</v>
      </c>
      <c r="Q41" s="91" t="s">
        <v>339</v>
      </c>
      <c r="R41" s="27"/>
      <c r="S41" s="26" t="s">
        <v>587</v>
      </c>
      <c r="T41" s="29" t="s">
        <v>318</v>
      </c>
      <c r="U41" s="31" t="s">
        <v>586</v>
      </c>
    </row>
    <row r="42" spans="1:21" ht="16.5" customHeight="1">
      <c r="A42" s="3" t="s">
        <v>35</v>
      </c>
      <c r="B42" s="87" t="s">
        <v>554</v>
      </c>
      <c r="C42" s="2">
        <v>1969</v>
      </c>
      <c r="D42" s="85" t="s">
        <v>99</v>
      </c>
      <c r="E42" s="2" t="s">
        <v>594</v>
      </c>
      <c r="F42" s="90">
        <v>5</v>
      </c>
      <c r="G42" s="90">
        <v>3</v>
      </c>
      <c r="H42" s="88">
        <v>3274</v>
      </c>
      <c r="I42" s="89">
        <v>2848.3</v>
      </c>
      <c r="J42" s="89">
        <f>I42-347.6</f>
        <v>2500.7000000000003</v>
      </c>
      <c r="K42" s="90">
        <v>132</v>
      </c>
      <c r="L42" s="89">
        <f>'Таблица 2, 3 виды ремонта'!C37</f>
        <v>700000</v>
      </c>
      <c r="M42" s="1">
        <v>0</v>
      </c>
      <c r="N42" s="1">
        <v>0</v>
      </c>
      <c r="O42" s="1">
        <v>0</v>
      </c>
      <c r="P42" s="89">
        <f aca="true" t="shared" si="1" ref="P42:P69">L42</f>
        <v>700000</v>
      </c>
      <c r="Q42" s="91" t="s">
        <v>339</v>
      </c>
      <c r="R42" s="27"/>
      <c r="S42" s="26" t="s">
        <v>587</v>
      </c>
      <c r="T42" s="29" t="s">
        <v>318</v>
      </c>
      <c r="U42" s="31" t="s">
        <v>586</v>
      </c>
    </row>
    <row r="43" spans="1:21" ht="16.5" customHeight="1">
      <c r="A43" s="3" t="s">
        <v>36</v>
      </c>
      <c r="B43" s="87" t="s">
        <v>557</v>
      </c>
      <c r="C43" s="90">
        <v>1948</v>
      </c>
      <c r="D43" s="85" t="s">
        <v>99</v>
      </c>
      <c r="E43" s="2" t="s">
        <v>594</v>
      </c>
      <c r="F43" s="90">
        <v>2</v>
      </c>
      <c r="G43" s="90">
        <v>2</v>
      </c>
      <c r="H43" s="89">
        <v>454.9</v>
      </c>
      <c r="I43" s="89">
        <v>401.6</v>
      </c>
      <c r="J43" s="89">
        <f>I43-53.3</f>
        <v>348.3</v>
      </c>
      <c r="K43" s="92">
        <v>15</v>
      </c>
      <c r="L43" s="89">
        <f>'Таблица 2, 3 виды ремонта'!C38</f>
        <v>1132500</v>
      </c>
      <c r="M43" s="1">
        <v>0</v>
      </c>
      <c r="N43" s="1">
        <v>0</v>
      </c>
      <c r="O43" s="1">
        <v>0</v>
      </c>
      <c r="P43" s="89">
        <f t="shared" si="1"/>
        <v>1132500</v>
      </c>
      <c r="Q43" s="91" t="s">
        <v>339</v>
      </c>
      <c r="R43" s="27"/>
      <c r="S43" s="26" t="s">
        <v>587</v>
      </c>
      <c r="T43" s="29" t="s">
        <v>318</v>
      </c>
      <c r="U43" s="31" t="s">
        <v>591</v>
      </c>
    </row>
    <row r="44" spans="1:21" ht="16.5" customHeight="1">
      <c r="A44" s="3" t="s">
        <v>37</v>
      </c>
      <c r="B44" s="87" t="s">
        <v>555</v>
      </c>
      <c r="C44" s="97">
        <v>1976</v>
      </c>
      <c r="D44" s="85" t="s">
        <v>99</v>
      </c>
      <c r="E44" s="2" t="s">
        <v>594</v>
      </c>
      <c r="F44" s="90">
        <v>9</v>
      </c>
      <c r="G44" s="90">
        <v>2</v>
      </c>
      <c r="H44" s="88">
        <v>7534.05</v>
      </c>
      <c r="I44" s="89">
        <v>4601.5</v>
      </c>
      <c r="J44" s="89">
        <f>I44-709.1</f>
        <v>3892.4</v>
      </c>
      <c r="K44" s="90">
        <v>219</v>
      </c>
      <c r="L44" s="89">
        <f>'Таблица 2, 3 виды ремонта'!C39</f>
        <v>1038440</v>
      </c>
      <c r="M44" s="1">
        <v>0</v>
      </c>
      <c r="N44" s="1">
        <v>0</v>
      </c>
      <c r="O44" s="1">
        <v>0</v>
      </c>
      <c r="P44" s="89">
        <f t="shared" si="1"/>
        <v>1038440</v>
      </c>
      <c r="Q44" s="91" t="s">
        <v>339</v>
      </c>
      <c r="R44" s="27"/>
      <c r="S44" s="26" t="s">
        <v>590</v>
      </c>
      <c r="T44" s="29" t="s">
        <v>318</v>
      </c>
      <c r="U44" s="31" t="s">
        <v>591</v>
      </c>
    </row>
    <row r="45" spans="1:21" ht="16.5" customHeight="1">
      <c r="A45" s="3" t="s">
        <v>38</v>
      </c>
      <c r="B45" s="87" t="s">
        <v>564</v>
      </c>
      <c r="C45" s="90">
        <v>1978</v>
      </c>
      <c r="D45" s="85" t="s">
        <v>99</v>
      </c>
      <c r="E45" s="2" t="s">
        <v>595</v>
      </c>
      <c r="F45" s="90">
        <v>5</v>
      </c>
      <c r="G45" s="90">
        <v>1</v>
      </c>
      <c r="H45" s="89">
        <v>1050</v>
      </c>
      <c r="I45" s="89">
        <v>1050</v>
      </c>
      <c r="J45" s="89">
        <v>1050</v>
      </c>
      <c r="K45" s="92">
        <v>100</v>
      </c>
      <c r="L45" s="89">
        <f>'Таблица 2, 3 виды ремонта'!C40</f>
        <v>678372</v>
      </c>
      <c r="M45" s="1">
        <v>0</v>
      </c>
      <c r="N45" s="1">
        <v>0</v>
      </c>
      <c r="O45" s="1">
        <v>0</v>
      </c>
      <c r="P45" s="89">
        <f t="shared" si="1"/>
        <v>678372</v>
      </c>
      <c r="Q45" s="91" t="s">
        <v>339</v>
      </c>
      <c r="R45" s="27"/>
      <c r="S45" s="32" t="s">
        <v>587</v>
      </c>
      <c r="T45" s="29" t="s">
        <v>318</v>
      </c>
      <c r="U45" s="31" t="s">
        <v>586</v>
      </c>
    </row>
    <row r="46" spans="1:21" ht="16.5" customHeight="1">
      <c r="A46" s="3" t="s">
        <v>39</v>
      </c>
      <c r="B46" s="87" t="s">
        <v>356</v>
      </c>
      <c r="C46" s="2">
        <v>1973</v>
      </c>
      <c r="D46" s="85" t="s">
        <v>99</v>
      </c>
      <c r="E46" s="2" t="s">
        <v>594</v>
      </c>
      <c r="F46" s="90">
        <v>9</v>
      </c>
      <c r="G46" s="90">
        <v>1</v>
      </c>
      <c r="H46" s="88">
        <v>3125.8</v>
      </c>
      <c r="I46" s="89">
        <v>2363.81</v>
      </c>
      <c r="J46" s="89">
        <f>I46-94.1</f>
        <v>2269.71</v>
      </c>
      <c r="K46" s="90">
        <v>109</v>
      </c>
      <c r="L46" s="89">
        <f>'Таблица 2, 3 виды ремонта'!C41</f>
        <v>725950</v>
      </c>
      <c r="M46" s="1">
        <v>0</v>
      </c>
      <c r="N46" s="1">
        <v>0</v>
      </c>
      <c r="O46" s="1">
        <v>0</v>
      </c>
      <c r="P46" s="89">
        <f t="shared" si="1"/>
        <v>725950</v>
      </c>
      <c r="Q46" s="91" t="s">
        <v>339</v>
      </c>
      <c r="R46" s="27"/>
      <c r="S46" s="26" t="s">
        <v>590</v>
      </c>
      <c r="T46" s="29" t="s">
        <v>326</v>
      </c>
      <c r="U46" s="31" t="s">
        <v>586</v>
      </c>
    </row>
    <row r="47" spans="1:21" ht="16.5" customHeight="1">
      <c r="A47" s="3" t="s">
        <v>40</v>
      </c>
      <c r="B47" s="87" t="s">
        <v>357</v>
      </c>
      <c r="C47" s="2">
        <v>1977</v>
      </c>
      <c r="D47" s="85" t="s">
        <v>99</v>
      </c>
      <c r="E47" s="2" t="s">
        <v>594</v>
      </c>
      <c r="F47" s="90">
        <v>9</v>
      </c>
      <c r="G47" s="90">
        <v>1</v>
      </c>
      <c r="H47" s="88">
        <v>2625</v>
      </c>
      <c r="I47" s="89">
        <v>2174.05</v>
      </c>
      <c r="J47" s="89">
        <f>I47-357.5</f>
        <v>1816.5500000000002</v>
      </c>
      <c r="K47" s="90">
        <v>101</v>
      </c>
      <c r="L47" s="89">
        <f>'Таблица 2, 3 виды ремонта'!C42</f>
        <v>1150560</v>
      </c>
      <c r="M47" s="1">
        <v>0</v>
      </c>
      <c r="N47" s="1">
        <v>0</v>
      </c>
      <c r="O47" s="1">
        <v>0</v>
      </c>
      <c r="P47" s="89">
        <f t="shared" si="1"/>
        <v>1150560</v>
      </c>
      <c r="Q47" s="91" t="s">
        <v>339</v>
      </c>
      <c r="R47" s="27"/>
      <c r="S47" s="26" t="s">
        <v>590</v>
      </c>
      <c r="T47" s="29" t="s">
        <v>319</v>
      </c>
      <c r="U47" s="31" t="s">
        <v>591</v>
      </c>
    </row>
    <row r="48" spans="1:21" ht="16.5" customHeight="1">
      <c r="A48" s="3" t="s">
        <v>41</v>
      </c>
      <c r="B48" s="87" t="s">
        <v>602</v>
      </c>
      <c r="C48" s="90">
        <v>1960</v>
      </c>
      <c r="D48" s="85" t="s">
        <v>99</v>
      </c>
      <c r="E48" s="2" t="s">
        <v>594</v>
      </c>
      <c r="F48" s="90">
        <v>2</v>
      </c>
      <c r="G48" s="90">
        <v>3</v>
      </c>
      <c r="H48" s="89">
        <v>539.4</v>
      </c>
      <c r="I48" s="89">
        <v>361.9</v>
      </c>
      <c r="J48" s="89">
        <f>I48-223.8</f>
        <v>138.09999999999997</v>
      </c>
      <c r="K48" s="92">
        <v>28</v>
      </c>
      <c r="L48" s="89">
        <f>'Таблица 2, 3 виды ремонта'!C43</f>
        <v>1043500</v>
      </c>
      <c r="M48" s="1">
        <v>0</v>
      </c>
      <c r="N48" s="1">
        <v>0</v>
      </c>
      <c r="O48" s="1">
        <v>0</v>
      </c>
      <c r="P48" s="89">
        <f t="shared" si="1"/>
        <v>1043500</v>
      </c>
      <c r="Q48" s="91" t="s">
        <v>339</v>
      </c>
      <c r="R48" s="27"/>
      <c r="S48" s="32" t="s">
        <v>590</v>
      </c>
      <c r="T48" s="29" t="s">
        <v>318</v>
      </c>
      <c r="U48" s="31" t="s">
        <v>586</v>
      </c>
    </row>
    <row r="49" spans="1:21" ht="16.5" customHeight="1">
      <c r="A49" s="3" t="s">
        <v>42</v>
      </c>
      <c r="B49" s="87" t="s">
        <v>358</v>
      </c>
      <c r="C49" s="2">
        <v>1965</v>
      </c>
      <c r="D49" s="85" t="s">
        <v>99</v>
      </c>
      <c r="E49" s="2" t="s">
        <v>594</v>
      </c>
      <c r="F49" s="90">
        <v>5</v>
      </c>
      <c r="G49" s="90">
        <v>3</v>
      </c>
      <c r="H49" s="88">
        <v>2563.9</v>
      </c>
      <c r="I49" s="89">
        <v>2563.9</v>
      </c>
      <c r="J49" s="89">
        <f>I49-0</f>
        <v>2563.9</v>
      </c>
      <c r="K49" s="90">
        <v>203</v>
      </c>
      <c r="L49" s="89">
        <f>'Таблица 2, 3 виды ремонта'!C44</f>
        <v>800000</v>
      </c>
      <c r="M49" s="1">
        <v>0</v>
      </c>
      <c r="N49" s="1">
        <v>0</v>
      </c>
      <c r="O49" s="1">
        <v>0</v>
      </c>
      <c r="P49" s="89">
        <f t="shared" si="1"/>
        <v>800000</v>
      </c>
      <c r="Q49" s="91" t="s">
        <v>339</v>
      </c>
      <c r="R49" s="27"/>
      <c r="S49" s="26" t="s">
        <v>587</v>
      </c>
      <c r="T49" s="29" t="s">
        <v>326</v>
      </c>
      <c r="U49" s="31" t="s">
        <v>586</v>
      </c>
    </row>
    <row r="50" spans="1:21" ht="16.5" customHeight="1">
      <c r="A50" s="3" t="s">
        <v>43</v>
      </c>
      <c r="B50" s="87" t="s">
        <v>359</v>
      </c>
      <c r="C50" s="2">
        <v>1956</v>
      </c>
      <c r="D50" s="85" t="s">
        <v>99</v>
      </c>
      <c r="E50" s="2" t="s">
        <v>594</v>
      </c>
      <c r="F50" s="90">
        <v>2</v>
      </c>
      <c r="G50" s="90">
        <v>2</v>
      </c>
      <c r="H50" s="88">
        <v>864.05</v>
      </c>
      <c r="I50" s="89">
        <v>864.05</v>
      </c>
      <c r="J50" s="89">
        <f>I50-271.9</f>
        <v>592.15</v>
      </c>
      <c r="K50" s="90">
        <v>39</v>
      </c>
      <c r="L50" s="89">
        <f>'Таблица 2, 3 виды ремонта'!C45</f>
        <v>69917.81</v>
      </c>
      <c r="M50" s="1">
        <v>0</v>
      </c>
      <c r="N50" s="1">
        <v>0</v>
      </c>
      <c r="O50" s="1">
        <v>0</v>
      </c>
      <c r="P50" s="89">
        <f t="shared" si="1"/>
        <v>69917.81</v>
      </c>
      <c r="Q50" s="91" t="s">
        <v>339</v>
      </c>
      <c r="R50" s="27"/>
      <c r="S50" s="26" t="s">
        <v>587</v>
      </c>
      <c r="T50" s="29" t="s">
        <v>325</v>
      </c>
      <c r="U50" s="31" t="s">
        <v>586</v>
      </c>
    </row>
    <row r="51" spans="1:21" ht="16.5" customHeight="1">
      <c r="A51" s="3" t="s">
        <v>44</v>
      </c>
      <c r="B51" s="87" t="s">
        <v>360</v>
      </c>
      <c r="C51" s="2">
        <v>1973</v>
      </c>
      <c r="D51" s="85" t="s">
        <v>99</v>
      </c>
      <c r="E51" s="2" t="s">
        <v>595</v>
      </c>
      <c r="F51" s="90">
        <v>10</v>
      </c>
      <c r="G51" s="90">
        <v>4</v>
      </c>
      <c r="H51" s="88">
        <v>13864.61</v>
      </c>
      <c r="I51" s="89">
        <v>12643.61</v>
      </c>
      <c r="J51" s="89">
        <f>I51-1385.5</f>
        <v>11258.11</v>
      </c>
      <c r="K51" s="90">
        <v>504</v>
      </c>
      <c r="L51" s="89">
        <f>'Таблица 2, 3 виды ремонта'!C46</f>
        <v>4600000</v>
      </c>
      <c r="M51" s="1">
        <v>0</v>
      </c>
      <c r="N51" s="1">
        <v>0</v>
      </c>
      <c r="O51" s="1">
        <v>0</v>
      </c>
      <c r="P51" s="89">
        <f t="shared" si="1"/>
        <v>4600000</v>
      </c>
      <c r="Q51" s="91" t="s">
        <v>339</v>
      </c>
      <c r="R51" s="27"/>
      <c r="S51" s="26" t="s">
        <v>589</v>
      </c>
      <c r="T51" s="29" t="s">
        <v>327</v>
      </c>
      <c r="U51" s="31" t="s">
        <v>586</v>
      </c>
    </row>
    <row r="52" spans="1:21" ht="16.5" customHeight="1">
      <c r="A52" s="3" t="s">
        <v>45</v>
      </c>
      <c r="B52" s="87" t="s">
        <v>361</v>
      </c>
      <c r="C52" s="2">
        <v>1975</v>
      </c>
      <c r="D52" s="85" t="s">
        <v>99</v>
      </c>
      <c r="E52" s="2" t="s">
        <v>595</v>
      </c>
      <c r="F52" s="90">
        <v>9</v>
      </c>
      <c r="G52" s="90">
        <v>2</v>
      </c>
      <c r="H52" s="88">
        <v>4270.6</v>
      </c>
      <c r="I52" s="89">
        <v>3889.6</v>
      </c>
      <c r="J52" s="89">
        <f>I52-0</f>
        <v>3889.6</v>
      </c>
      <c r="K52" s="90">
        <v>186</v>
      </c>
      <c r="L52" s="89">
        <f>'Таблица 2, 3 виды ремонта'!C47</f>
        <v>3100000</v>
      </c>
      <c r="M52" s="1">
        <v>0</v>
      </c>
      <c r="N52" s="1">
        <v>0</v>
      </c>
      <c r="O52" s="1">
        <v>0</v>
      </c>
      <c r="P52" s="89">
        <f t="shared" si="1"/>
        <v>3100000</v>
      </c>
      <c r="Q52" s="91" t="s">
        <v>339</v>
      </c>
      <c r="R52" s="27"/>
      <c r="S52" s="26" t="s">
        <v>589</v>
      </c>
      <c r="T52" s="29" t="s">
        <v>327</v>
      </c>
      <c r="U52" s="31" t="s">
        <v>586</v>
      </c>
    </row>
    <row r="53" spans="1:21" ht="16.5" customHeight="1">
      <c r="A53" s="3" t="s">
        <v>46</v>
      </c>
      <c r="B53" s="87" t="s">
        <v>362</v>
      </c>
      <c r="C53" s="2">
        <v>1974</v>
      </c>
      <c r="D53" s="85" t="s">
        <v>99</v>
      </c>
      <c r="E53" s="2" t="s">
        <v>594</v>
      </c>
      <c r="F53" s="90">
        <v>9</v>
      </c>
      <c r="G53" s="90">
        <v>4</v>
      </c>
      <c r="H53" s="88">
        <v>11178.11</v>
      </c>
      <c r="I53" s="89">
        <v>10091.91</v>
      </c>
      <c r="J53" s="89">
        <f>I53-668.59</f>
        <v>9423.32</v>
      </c>
      <c r="K53" s="90">
        <v>403</v>
      </c>
      <c r="L53" s="89">
        <f>'Таблица 2, 3 виды ремонта'!C48</f>
        <v>1600000</v>
      </c>
      <c r="M53" s="1">
        <v>0</v>
      </c>
      <c r="N53" s="1">
        <v>0</v>
      </c>
      <c r="O53" s="1">
        <v>0</v>
      </c>
      <c r="P53" s="89">
        <f t="shared" si="1"/>
        <v>1600000</v>
      </c>
      <c r="Q53" s="91" t="s">
        <v>339</v>
      </c>
      <c r="R53" s="27"/>
      <c r="S53" s="26" t="s">
        <v>589</v>
      </c>
      <c r="T53" s="29" t="s">
        <v>327</v>
      </c>
      <c r="U53" s="31" t="s">
        <v>586</v>
      </c>
    </row>
    <row r="54" spans="1:21" ht="16.5" customHeight="1">
      <c r="A54" s="3" t="s">
        <v>47</v>
      </c>
      <c r="B54" s="87" t="s">
        <v>363</v>
      </c>
      <c r="C54" s="97">
        <v>1977</v>
      </c>
      <c r="D54" s="85" t="s">
        <v>99</v>
      </c>
      <c r="E54" s="2" t="s">
        <v>595</v>
      </c>
      <c r="F54" s="90">
        <v>9</v>
      </c>
      <c r="G54" s="90">
        <v>2</v>
      </c>
      <c r="H54" s="88">
        <v>3828.29</v>
      </c>
      <c r="I54" s="89">
        <v>3564</v>
      </c>
      <c r="J54" s="89">
        <f>I54-178.45</f>
        <v>3385.55</v>
      </c>
      <c r="K54" s="90">
        <v>162</v>
      </c>
      <c r="L54" s="89">
        <f>'Таблица 2, 3 виды ремонта'!C49</f>
        <v>1000000</v>
      </c>
      <c r="M54" s="1">
        <v>0</v>
      </c>
      <c r="N54" s="1">
        <v>0</v>
      </c>
      <c r="O54" s="1">
        <v>0</v>
      </c>
      <c r="P54" s="89">
        <f t="shared" si="1"/>
        <v>1000000</v>
      </c>
      <c r="Q54" s="91" t="s">
        <v>339</v>
      </c>
      <c r="R54" s="27"/>
      <c r="S54" s="26" t="s">
        <v>585</v>
      </c>
      <c r="T54" s="29" t="s">
        <v>326</v>
      </c>
      <c r="U54" s="31" t="s">
        <v>586</v>
      </c>
    </row>
    <row r="55" spans="1:21" ht="16.5" customHeight="1">
      <c r="A55" s="3" t="s">
        <v>48</v>
      </c>
      <c r="B55" s="87" t="s">
        <v>364</v>
      </c>
      <c r="C55" s="97">
        <v>1934</v>
      </c>
      <c r="D55" s="85" t="s">
        <v>99</v>
      </c>
      <c r="E55" s="2" t="s">
        <v>594</v>
      </c>
      <c r="F55" s="90">
        <v>4</v>
      </c>
      <c r="G55" s="90">
        <v>2</v>
      </c>
      <c r="H55" s="88">
        <v>1387.1</v>
      </c>
      <c r="I55" s="89">
        <v>884.84</v>
      </c>
      <c r="J55" s="89">
        <f>I55-12.3</f>
        <v>872.5400000000001</v>
      </c>
      <c r="K55" s="90">
        <v>20</v>
      </c>
      <c r="L55" s="89">
        <f>'Таблица 2, 3 виды ремонта'!C50</f>
        <v>550000</v>
      </c>
      <c r="M55" s="1">
        <v>0</v>
      </c>
      <c r="N55" s="1">
        <v>0</v>
      </c>
      <c r="O55" s="1">
        <v>0</v>
      </c>
      <c r="P55" s="89">
        <f t="shared" si="1"/>
        <v>550000</v>
      </c>
      <c r="Q55" s="91" t="s">
        <v>339</v>
      </c>
      <c r="R55" s="27"/>
      <c r="S55" s="26" t="s">
        <v>585</v>
      </c>
      <c r="T55" s="29" t="s">
        <v>323</v>
      </c>
      <c r="U55" s="31" t="s">
        <v>586</v>
      </c>
    </row>
    <row r="56" spans="1:21" ht="16.5" customHeight="1">
      <c r="A56" s="3" t="s">
        <v>49</v>
      </c>
      <c r="B56" s="87" t="s">
        <v>365</v>
      </c>
      <c r="C56" s="97">
        <v>1917</v>
      </c>
      <c r="D56" s="85" t="s">
        <v>99</v>
      </c>
      <c r="E56" s="2" t="s">
        <v>594</v>
      </c>
      <c r="F56" s="90">
        <v>2</v>
      </c>
      <c r="G56" s="90">
        <v>2</v>
      </c>
      <c r="H56" s="88">
        <v>1087.38</v>
      </c>
      <c r="I56" s="89">
        <v>673.76</v>
      </c>
      <c r="J56" s="89">
        <f>I56-0</f>
        <v>673.76</v>
      </c>
      <c r="K56" s="90">
        <v>21</v>
      </c>
      <c r="L56" s="89">
        <f>'Таблица 2, 3 виды ремонта'!C51</f>
        <v>60728.32</v>
      </c>
      <c r="M56" s="1">
        <v>0</v>
      </c>
      <c r="N56" s="1">
        <v>0</v>
      </c>
      <c r="O56" s="1">
        <v>0</v>
      </c>
      <c r="P56" s="89">
        <f t="shared" si="1"/>
        <v>60728.32</v>
      </c>
      <c r="Q56" s="91" t="s">
        <v>339</v>
      </c>
      <c r="R56" s="27"/>
      <c r="S56" s="26" t="s">
        <v>585</v>
      </c>
      <c r="T56" s="29" t="s">
        <v>320</v>
      </c>
      <c r="U56" s="31" t="s">
        <v>586</v>
      </c>
    </row>
    <row r="57" spans="1:21" ht="16.5" customHeight="1">
      <c r="A57" s="3" t="s">
        <v>50</v>
      </c>
      <c r="B57" s="87" t="s">
        <v>366</v>
      </c>
      <c r="C57" s="97">
        <v>1917</v>
      </c>
      <c r="D57" s="85" t="s">
        <v>99</v>
      </c>
      <c r="E57" s="2" t="s">
        <v>594</v>
      </c>
      <c r="F57" s="90">
        <v>2</v>
      </c>
      <c r="G57" s="90">
        <v>2</v>
      </c>
      <c r="H57" s="88">
        <v>645.54</v>
      </c>
      <c r="I57" s="89">
        <v>239.8</v>
      </c>
      <c r="J57" s="89">
        <f>I57-0</f>
        <v>239.8</v>
      </c>
      <c r="K57" s="90">
        <v>8</v>
      </c>
      <c r="L57" s="89">
        <f>'Таблица 2, 3 виды ремонта'!C52</f>
        <v>800000</v>
      </c>
      <c r="M57" s="1">
        <v>0</v>
      </c>
      <c r="N57" s="1">
        <v>0</v>
      </c>
      <c r="O57" s="1">
        <v>0</v>
      </c>
      <c r="P57" s="89">
        <f t="shared" si="1"/>
        <v>800000</v>
      </c>
      <c r="Q57" s="91" t="s">
        <v>339</v>
      </c>
      <c r="R57" s="27"/>
      <c r="S57" s="26" t="s">
        <v>585</v>
      </c>
      <c r="T57" s="29" t="s">
        <v>318</v>
      </c>
      <c r="U57" s="31" t="s">
        <v>586</v>
      </c>
    </row>
    <row r="58" spans="1:21" ht="16.5" customHeight="1">
      <c r="A58" s="3" t="s">
        <v>51</v>
      </c>
      <c r="B58" s="87" t="s">
        <v>367</v>
      </c>
      <c r="C58" s="97">
        <v>1917</v>
      </c>
      <c r="D58" s="85" t="s">
        <v>99</v>
      </c>
      <c r="E58" s="2" t="s">
        <v>594</v>
      </c>
      <c r="F58" s="90">
        <v>4</v>
      </c>
      <c r="G58" s="90">
        <v>4</v>
      </c>
      <c r="H58" s="88">
        <v>1365.95</v>
      </c>
      <c r="I58" s="89">
        <v>1365.95</v>
      </c>
      <c r="J58" s="89">
        <f>I58-104.1</f>
        <v>1261.8500000000001</v>
      </c>
      <c r="K58" s="90">
        <v>21</v>
      </c>
      <c r="L58" s="89">
        <f>'Таблица 2, 3 виды ремонта'!C53</f>
        <v>1550000</v>
      </c>
      <c r="M58" s="1">
        <v>0</v>
      </c>
      <c r="N58" s="1">
        <v>0</v>
      </c>
      <c r="O58" s="1">
        <v>0</v>
      </c>
      <c r="P58" s="89">
        <f t="shared" si="1"/>
        <v>1550000</v>
      </c>
      <c r="Q58" s="91" t="s">
        <v>339</v>
      </c>
      <c r="R58" s="27" t="s">
        <v>606</v>
      </c>
      <c r="S58" s="26" t="s">
        <v>585</v>
      </c>
      <c r="T58" s="29" t="s">
        <v>328</v>
      </c>
      <c r="U58" s="31" t="s">
        <v>586</v>
      </c>
    </row>
    <row r="59" spans="1:21" ht="16.5" customHeight="1">
      <c r="A59" s="3" t="s">
        <v>52</v>
      </c>
      <c r="B59" s="87" t="s">
        <v>368</v>
      </c>
      <c r="C59" s="97">
        <v>1927</v>
      </c>
      <c r="D59" s="85" t="s">
        <v>99</v>
      </c>
      <c r="E59" s="2" t="s">
        <v>594</v>
      </c>
      <c r="F59" s="90">
        <v>4</v>
      </c>
      <c r="G59" s="90">
        <v>2</v>
      </c>
      <c r="H59" s="88">
        <v>1296.61</v>
      </c>
      <c r="I59" s="89">
        <v>891.41</v>
      </c>
      <c r="J59" s="89">
        <f>I59-75.9</f>
        <v>815.51</v>
      </c>
      <c r="K59" s="90">
        <v>47</v>
      </c>
      <c r="L59" s="89">
        <f>'Таблица 2, 3 виды ремонта'!C54</f>
        <v>550000</v>
      </c>
      <c r="M59" s="1">
        <v>0</v>
      </c>
      <c r="N59" s="1">
        <v>0</v>
      </c>
      <c r="O59" s="1">
        <v>0</v>
      </c>
      <c r="P59" s="89">
        <f t="shared" si="1"/>
        <v>550000</v>
      </c>
      <c r="Q59" s="91" t="s">
        <v>339</v>
      </c>
      <c r="R59" s="27" t="s">
        <v>606</v>
      </c>
      <c r="S59" s="26" t="s">
        <v>585</v>
      </c>
      <c r="T59" s="29" t="s">
        <v>323</v>
      </c>
      <c r="U59" s="31" t="s">
        <v>586</v>
      </c>
    </row>
    <row r="60" spans="1:21" ht="16.5" customHeight="1">
      <c r="A60" s="3" t="s">
        <v>53</v>
      </c>
      <c r="B60" s="87" t="s">
        <v>369</v>
      </c>
      <c r="C60" s="97" t="s">
        <v>108</v>
      </c>
      <c r="D60" s="85" t="s">
        <v>99</v>
      </c>
      <c r="E60" s="2" t="s">
        <v>594</v>
      </c>
      <c r="F60" s="90">
        <v>4</v>
      </c>
      <c r="G60" s="90">
        <v>2</v>
      </c>
      <c r="H60" s="88">
        <v>1129.2</v>
      </c>
      <c r="I60" s="89">
        <v>764.91</v>
      </c>
      <c r="J60" s="89">
        <f>I60-64.98</f>
        <v>699.93</v>
      </c>
      <c r="K60" s="90">
        <v>76</v>
      </c>
      <c r="L60" s="89">
        <f>'Таблица 2, 3 виды ремонта'!C55</f>
        <v>550000</v>
      </c>
      <c r="M60" s="1">
        <v>0</v>
      </c>
      <c r="N60" s="1">
        <v>0</v>
      </c>
      <c r="O60" s="1">
        <v>0</v>
      </c>
      <c r="P60" s="89">
        <f t="shared" si="1"/>
        <v>550000</v>
      </c>
      <c r="Q60" s="91" t="s">
        <v>339</v>
      </c>
      <c r="R60" s="27" t="s">
        <v>606</v>
      </c>
      <c r="S60" s="26" t="s">
        <v>585</v>
      </c>
      <c r="T60" s="29" t="s">
        <v>323</v>
      </c>
      <c r="U60" s="31" t="s">
        <v>586</v>
      </c>
    </row>
    <row r="61" spans="1:21" ht="16.5" customHeight="1">
      <c r="A61" s="3" t="s">
        <v>54</v>
      </c>
      <c r="B61" s="87" t="s">
        <v>568</v>
      </c>
      <c r="C61" s="90">
        <v>1961</v>
      </c>
      <c r="D61" s="85" t="s">
        <v>99</v>
      </c>
      <c r="E61" s="2" t="s">
        <v>594</v>
      </c>
      <c r="F61" s="90">
        <v>2</v>
      </c>
      <c r="G61" s="90">
        <v>2</v>
      </c>
      <c r="H61" s="89">
        <v>710.3</v>
      </c>
      <c r="I61" s="89">
        <v>663.4</v>
      </c>
      <c r="J61" s="89">
        <f>I61-0</f>
        <v>663.4</v>
      </c>
      <c r="K61" s="92">
        <v>37</v>
      </c>
      <c r="L61" s="89">
        <f>'Таблица 2, 3 виды ремонта'!C56</f>
        <v>3284534</v>
      </c>
      <c r="M61" s="1">
        <v>0</v>
      </c>
      <c r="N61" s="1">
        <v>0</v>
      </c>
      <c r="O61" s="1">
        <v>0</v>
      </c>
      <c r="P61" s="89">
        <f t="shared" si="1"/>
        <v>3284534</v>
      </c>
      <c r="Q61" s="91" t="s">
        <v>339</v>
      </c>
      <c r="R61" s="27"/>
      <c r="S61" s="32"/>
      <c r="T61" s="29" t="s">
        <v>318</v>
      </c>
      <c r="U61" s="31" t="s">
        <v>586</v>
      </c>
    </row>
    <row r="62" spans="1:21" ht="16.5" customHeight="1">
      <c r="A62" s="3" t="s">
        <v>55</v>
      </c>
      <c r="B62" s="87" t="s">
        <v>570</v>
      </c>
      <c r="C62" s="90">
        <v>1960</v>
      </c>
      <c r="D62" s="85" t="s">
        <v>99</v>
      </c>
      <c r="E62" s="2" t="s">
        <v>594</v>
      </c>
      <c r="F62" s="90">
        <v>3</v>
      </c>
      <c r="G62" s="90">
        <v>3</v>
      </c>
      <c r="H62" s="89">
        <v>1786.59</v>
      </c>
      <c r="I62" s="89">
        <v>1786.59</v>
      </c>
      <c r="J62" s="89">
        <f>I62-431.57</f>
        <v>1355.02</v>
      </c>
      <c r="K62" s="92">
        <v>72</v>
      </c>
      <c r="L62" s="89">
        <f>'Таблица 2, 3 виды ремонта'!C57</f>
        <v>1412174</v>
      </c>
      <c r="M62" s="1">
        <v>0</v>
      </c>
      <c r="N62" s="1">
        <v>0</v>
      </c>
      <c r="O62" s="1">
        <v>0</v>
      </c>
      <c r="P62" s="89">
        <f t="shared" si="1"/>
        <v>1412174</v>
      </c>
      <c r="Q62" s="91" t="s">
        <v>339</v>
      </c>
      <c r="R62" s="27"/>
      <c r="S62" s="32" t="s">
        <v>587</v>
      </c>
      <c r="T62" s="29" t="s">
        <v>318</v>
      </c>
      <c r="U62" s="31" t="s">
        <v>586</v>
      </c>
    </row>
    <row r="63" spans="1:21" ht="16.5" customHeight="1">
      <c r="A63" s="3" t="s">
        <v>56</v>
      </c>
      <c r="B63" s="87" t="s">
        <v>370</v>
      </c>
      <c r="C63" s="2">
        <v>1978</v>
      </c>
      <c r="D63" s="85" t="s">
        <v>99</v>
      </c>
      <c r="E63" s="2" t="s">
        <v>595</v>
      </c>
      <c r="F63" s="90">
        <v>9</v>
      </c>
      <c r="G63" s="90">
        <v>4</v>
      </c>
      <c r="H63" s="88">
        <v>14163.1</v>
      </c>
      <c r="I63" s="89">
        <v>10802.83</v>
      </c>
      <c r="J63" s="89">
        <f>I63-0</f>
        <v>10802.83</v>
      </c>
      <c r="K63" s="90">
        <v>526</v>
      </c>
      <c r="L63" s="89">
        <f>'Таблица 2, 3 виды ремонта'!C58</f>
        <v>1500000</v>
      </c>
      <c r="M63" s="1">
        <v>0</v>
      </c>
      <c r="N63" s="1">
        <v>0</v>
      </c>
      <c r="O63" s="1">
        <v>0</v>
      </c>
      <c r="P63" s="89">
        <f t="shared" si="1"/>
        <v>1500000</v>
      </c>
      <c r="Q63" s="91" t="s">
        <v>339</v>
      </c>
      <c r="R63" s="27"/>
      <c r="S63" s="26" t="s">
        <v>590</v>
      </c>
      <c r="T63" s="29" t="s">
        <v>318</v>
      </c>
      <c r="U63" s="31" t="s">
        <v>591</v>
      </c>
    </row>
    <row r="64" spans="1:21" ht="16.5" customHeight="1">
      <c r="A64" s="3" t="s">
        <v>57</v>
      </c>
      <c r="B64" s="87" t="s">
        <v>371</v>
      </c>
      <c r="C64" s="2">
        <v>1969</v>
      </c>
      <c r="D64" s="85" t="s">
        <v>99</v>
      </c>
      <c r="E64" s="2" t="s">
        <v>595</v>
      </c>
      <c r="F64" s="90">
        <v>5</v>
      </c>
      <c r="G64" s="90">
        <v>4</v>
      </c>
      <c r="H64" s="88">
        <v>4654.6</v>
      </c>
      <c r="I64" s="89">
        <v>3506.1</v>
      </c>
      <c r="J64" s="89">
        <f>I64-0</f>
        <v>3506.1</v>
      </c>
      <c r="K64" s="90">
        <v>167</v>
      </c>
      <c r="L64" s="89">
        <f>'Таблица 2, 3 виды ремонта'!C59</f>
        <v>1480000</v>
      </c>
      <c r="M64" s="1">
        <v>0</v>
      </c>
      <c r="N64" s="1">
        <v>0</v>
      </c>
      <c r="O64" s="1">
        <v>0</v>
      </c>
      <c r="P64" s="89">
        <f t="shared" si="1"/>
        <v>1480000</v>
      </c>
      <c r="Q64" s="91" t="s">
        <v>339</v>
      </c>
      <c r="R64" s="27"/>
      <c r="S64" s="26" t="s">
        <v>590</v>
      </c>
      <c r="T64" s="29" t="s">
        <v>604</v>
      </c>
      <c r="U64" s="31" t="s">
        <v>591</v>
      </c>
    </row>
    <row r="65" spans="1:21" ht="16.5" customHeight="1">
      <c r="A65" s="3" t="s">
        <v>58</v>
      </c>
      <c r="B65" s="87" t="s">
        <v>384</v>
      </c>
      <c r="C65" s="2">
        <v>1967</v>
      </c>
      <c r="D65" s="85" t="s">
        <v>99</v>
      </c>
      <c r="E65" s="2" t="s">
        <v>594</v>
      </c>
      <c r="F65" s="90">
        <v>2</v>
      </c>
      <c r="G65" s="90">
        <v>2</v>
      </c>
      <c r="H65" s="88">
        <v>727.9</v>
      </c>
      <c r="I65" s="89">
        <v>727.9</v>
      </c>
      <c r="J65" s="89">
        <f>I65-300</f>
        <v>427.9</v>
      </c>
      <c r="K65" s="90">
        <v>34</v>
      </c>
      <c r="L65" s="89">
        <f>'Таблица 2, 3 виды ремонта'!C60</f>
        <v>500000</v>
      </c>
      <c r="M65" s="1">
        <v>0</v>
      </c>
      <c r="N65" s="1">
        <v>0</v>
      </c>
      <c r="O65" s="1">
        <v>0</v>
      </c>
      <c r="P65" s="89">
        <f t="shared" si="1"/>
        <v>500000</v>
      </c>
      <c r="Q65" s="91" t="s">
        <v>339</v>
      </c>
      <c r="R65" s="27"/>
      <c r="S65" s="26" t="s">
        <v>587</v>
      </c>
      <c r="T65" s="29" t="s">
        <v>318</v>
      </c>
      <c r="U65" s="31" t="s">
        <v>586</v>
      </c>
    </row>
    <row r="66" spans="1:21" ht="16.5" customHeight="1">
      <c r="A66" s="3" t="s">
        <v>59</v>
      </c>
      <c r="B66" s="87" t="s">
        <v>507</v>
      </c>
      <c r="C66" s="2">
        <v>1954</v>
      </c>
      <c r="D66" s="85" t="s">
        <v>99</v>
      </c>
      <c r="E66" s="2" t="s">
        <v>594</v>
      </c>
      <c r="F66" s="90">
        <v>2</v>
      </c>
      <c r="G66" s="90">
        <v>2</v>
      </c>
      <c r="H66" s="98">
        <v>433.59</v>
      </c>
      <c r="I66" s="89">
        <v>433.59</v>
      </c>
      <c r="J66" s="89">
        <f>I66-233.19</f>
        <v>200.39999999999998</v>
      </c>
      <c r="K66" s="90">
        <v>32</v>
      </c>
      <c r="L66" s="89">
        <f>'Таблица 2, 3 виды ремонта'!C61</f>
        <v>500000</v>
      </c>
      <c r="M66" s="1">
        <v>0</v>
      </c>
      <c r="N66" s="1">
        <v>0</v>
      </c>
      <c r="O66" s="1">
        <v>0</v>
      </c>
      <c r="P66" s="89">
        <f t="shared" si="1"/>
        <v>500000</v>
      </c>
      <c r="Q66" s="91" t="s">
        <v>339</v>
      </c>
      <c r="R66" s="27"/>
      <c r="S66" s="26" t="s">
        <v>587</v>
      </c>
      <c r="T66" s="29" t="s">
        <v>318</v>
      </c>
      <c r="U66" s="31" t="s">
        <v>586</v>
      </c>
    </row>
    <row r="67" spans="1:21" ht="16.5" customHeight="1">
      <c r="A67" s="3" t="s">
        <v>302</v>
      </c>
      <c r="B67" s="87" t="s">
        <v>508</v>
      </c>
      <c r="C67" s="2">
        <v>1957</v>
      </c>
      <c r="D67" s="85" t="s">
        <v>99</v>
      </c>
      <c r="E67" s="2" t="s">
        <v>594</v>
      </c>
      <c r="F67" s="90">
        <v>3</v>
      </c>
      <c r="G67" s="90">
        <v>4</v>
      </c>
      <c r="H67" s="88">
        <v>3136.1</v>
      </c>
      <c r="I67" s="89">
        <v>1940.69</v>
      </c>
      <c r="J67" s="89">
        <f>I67-589.02</f>
        <v>1351.67</v>
      </c>
      <c r="K67" s="90">
        <v>102</v>
      </c>
      <c r="L67" s="89">
        <f>'Таблица 2, 3 виды ремонта'!C62</f>
        <v>2139559</v>
      </c>
      <c r="M67" s="1">
        <v>0</v>
      </c>
      <c r="N67" s="1">
        <v>0</v>
      </c>
      <c r="O67" s="1">
        <v>0</v>
      </c>
      <c r="P67" s="89">
        <f t="shared" si="1"/>
        <v>2139559</v>
      </c>
      <c r="Q67" s="91" t="s">
        <v>339</v>
      </c>
      <c r="R67" s="27"/>
      <c r="S67" s="26" t="s">
        <v>587</v>
      </c>
      <c r="T67" s="29" t="s">
        <v>322</v>
      </c>
      <c r="U67" s="31" t="s">
        <v>586</v>
      </c>
    </row>
    <row r="68" spans="1:21" ht="16.5" customHeight="1">
      <c r="A68" s="3" t="s">
        <v>60</v>
      </c>
      <c r="B68" s="87" t="s">
        <v>509</v>
      </c>
      <c r="C68" s="93" t="s">
        <v>314</v>
      </c>
      <c r="D68" s="85" t="s">
        <v>99</v>
      </c>
      <c r="E68" s="2" t="s">
        <v>594</v>
      </c>
      <c r="F68" s="90">
        <v>4</v>
      </c>
      <c r="G68" s="90">
        <v>3</v>
      </c>
      <c r="H68" s="88">
        <v>2936.3</v>
      </c>
      <c r="I68" s="89">
        <v>1256.3</v>
      </c>
      <c r="J68" s="89">
        <f>I68-142.7</f>
        <v>1113.6</v>
      </c>
      <c r="K68" s="90">
        <v>63</v>
      </c>
      <c r="L68" s="89">
        <f>'Таблица 2, 3 виды ремонта'!C63</f>
        <v>1050000</v>
      </c>
      <c r="M68" s="1">
        <v>0</v>
      </c>
      <c r="N68" s="1">
        <v>0</v>
      </c>
      <c r="O68" s="1">
        <v>0</v>
      </c>
      <c r="P68" s="89">
        <f t="shared" si="1"/>
        <v>1050000</v>
      </c>
      <c r="Q68" s="91" t="s">
        <v>339</v>
      </c>
      <c r="R68" s="27"/>
      <c r="S68" s="26" t="s">
        <v>587</v>
      </c>
      <c r="T68" s="29" t="s">
        <v>325</v>
      </c>
      <c r="U68" s="31" t="s">
        <v>586</v>
      </c>
    </row>
    <row r="69" spans="1:21" ht="16.5" customHeight="1">
      <c r="A69" s="3" t="s">
        <v>61</v>
      </c>
      <c r="B69" s="87" t="s">
        <v>603</v>
      </c>
      <c r="C69" s="90">
        <v>1968</v>
      </c>
      <c r="D69" s="85" t="s">
        <v>99</v>
      </c>
      <c r="E69" s="2" t="s">
        <v>595</v>
      </c>
      <c r="F69" s="90">
        <v>5</v>
      </c>
      <c r="G69" s="90">
        <v>3</v>
      </c>
      <c r="H69" s="89">
        <v>3310.9</v>
      </c>
      <c r="I69" s="89">
        <v>2571.23</v>
      </c>
      <c r="J69" s="89">
        <f>I69-195.64</f>
        <v>2375.59</v>
      </c>
      <c r="K69" s="92">
        <v>125</v>
      </c>
      <c r="L69" s="89">
        <f>'Таблица 2, 3 виды ремонта'!C64</f>
        <v>496804</v>
      </c>
      <c r="M69" s="1">
        <v>0</v>
      </c>
      <c r="N69" s="1">
        <v>0</v>
      </c>
      <c r="O69" s="1">
        <v>0</v>
      </c>
      <c r="P69" s="89">
        <f t="shared" si="1"/>
        <v>496804</v>
      </c>
      <c r="Q69" s="91" t="s">
        <v>339</v>
      </c>
      <c r="R69" s="27"/>
      <c r="S69" s="26" t="s">
        <v>588</v>
      </c>
      <c r="T69" s="29" t="s">
        <v>321</v>
      </c>
      <c r="U69" s="31" t="s">
        <v>586</v>
      </c>
    </row>
    <row r="70" spans="1:21" ht="16.5" customHeight="1">
      <c r="A70" s="3" t="s">
        <v>62</v>
      </c>
      <c r="B70" s="87" t="s">
        <v>565</v>
      </c>
      <c r="C70" s="90">
        <v>1959</v>
      </c>
      <c r="D70" s="85" t="s">
        <v>99</v>
      </c>
      <c r="E70" s="2" t="s">
        <v>594</v>
      </c>
      <c r="F70" s="90">
        <v>3</v>
      </c>
      <c r="G70" s="90">
        <v>1</v>
      </c>
      <c r="H70" s="89">
        <v>325</v>
      </c>
      <c r="I70" s="89">
        <v>274.42</v>
      </c>
      <c r="J70" s="89">
        <f>I70-31.1</f>
        <v>243.32000000000002</v>
      </c>
      <c r="K70" s="92">
        <v>9</v>
      </c>
      <c r="L70" s="89">
        <f>'Таблица 2, 3 виды ремонта'!C65</f>
        <v>700000</v>
      </c>
      <c r="M70" s="1">
        <v>0</v>
      </c>
      <c r="N70" s="1">
        <v>0</v>
      </c>
      <c r="O70" s="1">
        <v>0</v>
      </c>
      <c r="P70" s="89">
        <f aca="true" t="shared" si="2" ref="P70:P95">L70</f>
        <v>700000</v>
      </c>
      <c r="Q70" s="91" t="s">
        <v>339</v>
      </c>
      <c r="R70" s="27"/>
      <c r="S70" s="32" t="s">
        <v>588</v>
      </c>
      <c r="T70" s="29" t="s">
        <v>335</v>
      </c>
      <c r="U70" s="31" t="s">
        <v>586</v>
      </c>
    </row>
    <row r="71" spans="1:21" ht="16.5" customHeight="1">
      <c r="A71" s="3" t="s">
        <v>63</v>
      </c>
      <c r="B71" s="87" t="s">
        <v>569</v>
      </c>
      <c r="C71" s="85">
        <v>1959</v>
      </c>
      <c r="D71" s="85" t="s">
        <v>99</v>
      </c>
      <c r="E71" s="2" t="s">
        <v>594</v>
      </c>
      <c r="F71" s="85">
        <v>1</v>
      </c>
      <c r="G71" s="85">
        <v>3</v>
      </c>
      <c r="H71" s="1">
        <v>678.4</v>
      </c>
      <c r="I71" s="1">
        <v>636.8</v>
      </c>
      <c r="J71" s="1">
        <f>I71-87.4</f>
        <v>549.4</v>
      </c>
      <c r="K71" s="85">
        <v>26</v>
      </c>
      <c r="L71" s="89">
        <f>'Таблица 2, 3 виды ремонта'!C66</f>
        <v>863354</v>
      </c>
      <c r="M71" s="1">
        <v>0</v>
      </c>
      <c r="N71" s="1">
        <v>0</v>
      </c>
      <c r="O71" s="1">
        <v>0</v>
      </c>
      <c r="P71" s="89">
        <f t="shared" si="2"/>
        <v>863354</v>
      </c>
      <c r="Q71" s="91" t="s">
        <v>339</v>
      </c>
      <c r="R71" s="27"/>
      <c r="S71" s="32" t="s">
        <v>588</v>
      </c>
      <c r="T71" s="29" t="s">
        <v>318</v>
      </c>
      <c r="U71" s="31" t="s">
        <v>586</v>
      </c>
    </row>
    <row r="72" spans="1:21" ht="16.5" customHeight="1">
      <c r="A72" s="3" t="s">
        <v>64</v>
      </c>
      <c r="B72" s="87" t="s">
        <v>497</v>
      </c>
      <c r="C72" s="97">
        <v>1969</v>
      </c>
      <c r="D72" s="85" t="s">
        <v>99</v>
      </c>
      <c r="E72" s="2" t="s">
        <v>595</v>
      </c>
      <c r="F72" s="85">
        <v>5</v>
      </c>
      <c r="G72" s="85">
        <v>4</v>
      </c>
      <c r="H72" s="88">
        <v>3550.05</v>
      </c>
      <c r="I72" s="89">
        <v>3550.05</v>
      </c>
      <c r="J72" s="1">
        <f>I72-374.6</f>
        <v>3175.4500000000003</v>
      </c>
      <c r="K72" s="90">
        <v>170</v>
      </c>
      <c r="L72" s="89">
        <f>'Таблица 2, 3 виды ремонта'!C67</f>
        <v>1300000</v>
      </c>
      <c r="M72" s="1">
        <v>0</v>
      </c>
      <c r="N72" s="1">
        <v>0</v>
      </c>
      <c r="O72" s="1">
        <v>0</v>
      </c>
      <c r="P72" s="89">
        <f t="shared" si="2"/>
        <v>1300000</v>
      </c>
      <c r="Q72" s="91" t="s">
        <v>339</v>
      </c>
      <c r="R72" s="27"/>
      <c r="S72" s="26" t="s">
        <v>590</v>
      </c>
      <c r="T72" s="29" t="s">
        <v>318</v>
      </c>
      <c r="U72" s="31" t="s">
        <v>586</v>
      </c>
    </row>
    <row r="73" spans="1:21" ht="16.5" customHeight="1">
      <c r="A73" s="3" t="s">
        <v>65</v>
      </c>
      <c r="B73" s="87" t="s">
        <v>385</v>
      </c>
      <c r="C73" s="2">
        <v>1984</v>
      </c>
      <c r="D73" s="85" t="s">
        <v>99</v>
      </c>
      <c r="E73" s="2" t="s">
        <v>594</v>
      </c>
      <c r="F73" s="90">
        <v>5</v>
      </c>
      <c r="G73" s="90">
        <v>4</v>
      </c>
      <c r="H73" s="88">
        <v>2391.44</v>
      </c>
      <c r="I73" s="89">
        <v>2202.2</v>
      </c>
      <c r="J73" s="89">
        <f>I73-189.2</f>
        <v>2012.9999999999998</v>
      </c>
      <c r="K73" s="90">
        <v>138</v>
      </c>
      <c r="L73" s="89">
        <f>'Таблица 2, 3 виды ремонта'!C68</f>
        <v>890400</v>
      </c>
      <c r="M73" s="1">
        <v>0</v>
      </c>
      <c r="N73" s="1">
        <v>0</v>
      </c>
      <c r="O73" s="1">
        <v>0</v>
      </c>
      <c r="P73" s="89">
        <f t="shared" si="2"/>
        <v>890400</v>
      </c>
      <c r="Q73" s="91" t="s">
        <v>339</v>
      </c>
      <c r="R73" s="27"/>
      <c r="S73" s="26" t="s">
        <v>589</v>
      </c>
      <c r="T73" s="29" t="s">
        <v>318</v>
      </c>
      <c r="U73" s="31" t="s">
        <v>586</v>
      </c>
    </row>
    <row r="74" spans="1:21" ht="16.5" customHeight="1">
      <c r="A74" s="3" t="s">
        <v>66</v>
      </c>
      <c r="B74" s="87" t="s">
        <v>386</v>
      </c>
      <c r="C74" s="2">
        <v>1984</v>
      </c>
      <c r="D74" s="85" t="s">
        <v>99</v>
      </c>
      <c r="E74" s="2" t="s">
        <v>594</v>
      </c>
      <c r="F74" s="90">
        <v>5</v>
      </c>
      <c r="G74" s="90">
        <v>4</v>
      </c>
      <c r="H74" s="88">
        <v>3414</v>
      </c>
      <c r="I74" s="89">
        <v>2613</v>
      </c>
      <c r="J74" s="89">
        <f>I74-57.6</f>
        <v>2555.4</v>
      </c>
      <c r="K74" s="90">
        <v>129</v>
      </c>
      <c r="L74" s="89">
        <f>'Таблица 2, 3 виды ремонта'!C69</f>
        <v>2087520</v>
      </c>
      <c r="M74" s="1">
        <v>0</v>
      </c>
      <c r="N74" s="1">
        <v>0</v>
      </c>
      <c r="O74" s="1">
        <v>0</v>
      </c>
      <c r="P74" s="89">
        <f t="shared" si="2"/>
        <v>2087520</v>
      </c>
      <c r="Q74" s="91" t="s">
        <v>339</v>
      </c>
      <c r="R74" s="27"/>
      <c r="S74" s="26" t="s">
        <v>589</v>
      </c>
      <c r="T74" s="29" t="s">
        <v>319</v>
      </c>
      <c r="U74" s="31" t="s">
        <v>586</v>
      </c>
    </row>
    <row r="75" spans="1:21" ht="16.5" customHeight="1">
      <c r="A75" s="3" t="s">
        <v>67</v>
      </c>
      <c r="B75" s="87" t="s">
        <v>387</v>
      </c>
      <c r="C75" s="85" t="s">
        <v>308</v>
      </c>
      <c r="D75" s="85" t="s">
        <v>99</v>
      </c>
      <c r="E75" s="2" t="s">
        <v>594</v>
      </c>
      <c r="F75" s="90">
        <v>2</v>
      </c>
      <c r="G75" s="90">
        <v>19</v>
      </c>
      <c r="H75" s="88">
        <v>7657.37</v>
      </c>
      <c r="I75" s="89">
        <v>7226.57</v>
      </c>
      <c r="J75" s="89">
        <f>I75-972.74</f>
        <v>6253.83</v>
      </c>
      <c r="K75" s="90">
        <v>415</v>
      </c>
      <c r="L75" s="89">
        <f>'Таблица 2, 3 виды ремонта'!C70</f>
        <v>1300000</v>
      </c>
      <c r="M75" s="1">
        <v>0</v>
      </c>
      <c r="N75" s="1">
        <v>0</v>
      </c>
      <c r="O75" s="1">
        <v>0</v>
      </c>
      <c r="P75" s="89">
        <f t="shared" si="2"/>
        <v>1300000</v>
      </c>
      <c r="Q75" s="91" t="s">
        <v>339</v>
      </c>
      <c r="R75" s="27"/>
      <c r="S75" s="26" t="s">
        <v>585</v>
      </c>
      <c r="T75" s="29" t="s">
        <v>319</v>
      </c>
      <c r="U75" s="31" t="s">
        <v>586</v>
      </c>
    </row>
    <row r="76" spans="1:21" ht="16.5" customHeight="1">
      <c r="A76" s="3" t="s">
        <v>68</v>
      </c>
      <c r="B76" s="87" t="s">
        <v>388</v>
      </c>
      <c r="C76" s="2">
        <v>1969</v>
      </c>
      <c r="D76" s="85" t="s">
        <v>99</v>
      </c>
      <c r="E76" s="2" t="s">
        <v>594</v>
      </c>
      <c r="F76" s="90">
        <v>9</v>
      </c>
      <c r="G76" s="90">
        <v>3</v>
      </c>
      <c r="H76" s="88">
        <v>5553.95</v>
      </c>
      <c r="I76" s="89">
        <v>3640.25</v>
      </c>
      <c r="J76" s="89">
        <f>I76-212.4</f>
        <v>3427.85</v>
      </c>
      <c r="K76" s="90">
        <v>241</v>
      </c>
      <c r="L76" s="89">
        <f>'Таблица 2, 3 виды ремонта'!C71</f>
        <v>8020000</v>
      </c>
      <c r="M76" s="1">
        <v>0</v>
      </c>
      <c r="N76" s="1">
        <v>0</v>
      </c>
      <c r="O76" s="1">
        <v>0</v>
      </c>
      <c r="P76" s="89">
        <f t="shared" si="2"/>
        <v>8020000</v>
      </c>
      <c r="Q76" s="91" t="s">
        <v>339</v>
      </c>
      <c r="R76" s="27"/>
      <c r="S76" s="26" t="s">
        <v>589</v>
      </c>
      <c r="T76" s="29" t="s">
        <v>327</v>
      </c>
      <c r="U76" s="31" t="s">
        <v>586</v>
      </c>
    </row>
    <row r="77" spans="1:21" ht="16.5" customHeight="1">
      <c r="A77" s="3" t="s">
        <v>69</v>
      </c>
      <c r="B77" s="87" t="s">
        <v>389</v>
      </c>
      <c r="C77" s="2" t="s">
        <v>309</v>
      </c>
      <c r="D77" s="85" t="s">
        <v>99</v>
      </c>
      <c r="E77" s="2" t="s">
        <v>594</v>
      </c>
      <c r="F77" s="90">
        <v>9</v>
      </c>
      <c r="G77" s="90">
        <v>1</v>
      </c>
      <c r="H77" s="88">
        <v>2462.93</v>
      </c>
      <c r="I77" s="89">
        <v>2065.73</v>
      </c>
      <c r="J77" s="89">
        <f>I77-0</f>
        <v>2065.73</v>
      </c>
      <c r="K77" s="90">
        <v>79</v>
      </c>
      <c r="L77" s="89">
        <f>'Таблица 2, 3 виды ремонта'!C72</f>
        <v>2080000</v>
      </c>
      <c r="M77" s="1">
        <v>0</v>
      </c>
      <c r="N77" s="1">
        <v>0</v>
      </c>
      <c r="O77" s="1">
        <v>0</v>
      </c>
      <c r="P77" s="89">
        <f t="shared" si="2"/>
        <v>2080000</v>
      </c>
      <c r="Q77" s="91" t="s">
        <v>339</v>
      </c>
      <c r="R77" s="27"/>
      <c r="S77" s="26" t="s">
        <v>589</v>
      </c>
      <c r="T77" s="29" t="s">
        <v>327</v>
      </c>
      <c r="U77" s="31" t="s">
        <v>586</v>
      </c>
    </row>
    <row r="78" spans="1:21" ht="16.5" customHeight="1">
      <c r="A78" s="3" t="s">
        <v>70</v>
      </c>
      <c r="B78" s="87" t="s">
        <v>582</v>
      </c>
      <c r="C78" s="90">
        <v>1917</v>
      </c>
      <c r="D78" s="85" t="s">
        <v>99</v>
      </c>
      <c r="E78" s="2" t="s">
        <v>594</v>
      </c>
      <c r="F78" s="90">
        <v>1</v>
      </c>
      <c r="G78" s="90">
        <v>1</v>
      </c>
      <c r="H78" s="89">
        <v>426.6</v>
      </c>
      <c r="I78" s="89">
        <v>426.6</v>
      </c>
      <c r="J78" s="89">
        <f>I78-75.9</f>
        <v>350.70000000000005</v>
      </c>
      <c r="K78" s="92">
        <v>20</v>
      </c>
      <c r="L78" s="89">
        <f>'Таблица 2, 3 виды ремонта'!C73</f>
        <v>12258.01</v>
      </c>
      <c r="M78" s="1">
        <v>0</v>
      </c>
      <c r="N78" s="1">
        <v>0</v>
      </c>
      <c r="O78" s="1">
        <v>0</v>
      </c>
      <c r="P78" s="89">
        <f t="shared" si="2"/>
        <v>12258.01</v>
      </c>
      <c r="Q78" s="91" t="s">
        <v>339</v>
      </c>
      <c r="R78" s="27"/>
      <c r="S78" s="32" t="s">
        <v>588</v>
      </c>
      <c r="T78" s="29" t="s">
        <v>318</v>
      </c>
      <c r="U78" s="31" t="s">
        <v>586</v>
      </c>
    </row>
    <row r="79" spans="1:21" ht="16.5" customHeight="1">
      <c r="A79" s="3" t="s">
        <v>71</v>
      </c>
      <c r="B79" s="87" t="s">
        <v>390</v>
      </c>
      <c r="C79" s="2">
        <v>1936</v>
      </c>
      <c r="D79" s="85" t="s">
        <v>99</v>
      </c>
      <c r="E79" s="2" t="s">
        <v>594</v>
      </c>
      <c r="F79" s="90">
        <v>2</v>
      </c>
      <c r="G79" s="90">
        <v>2</v>
      </c>
      <c r="H79" s="88">
        <v>726.2</v>
      </c>
      <c r="I79" s="89">
        <v>476.2</v>
      </c>
      <c r="J79" s="89">
        <f>I79-31.4</f>
        <v>444.8</v>
      </c>
      <c r="K79" s="90">
        <v>24</v>
      </c>
      <c r="L79" s="89">
        <f>'Таблица 2, 3 виды ремонта'!C74</f>
        <v>500000</v>
      </c>
      <c r="M79" s="1">
        <v>0</v>
      </c>
      <c r="N79" s="1">
        <v>0</v>
      </c>
      <c r="O79" s="1">
        <v>0</v>
      </c>
      <c r="P79" s="89">
        <f t="shared" si="2"/>
        <v>500000</v>
      </c>
      <c r="Q79" s="91" t="s">
        <v>339</v>
      </c>
      <c r="R79" s="27"/>
      <c r="S79" s="26" t="s">
        <v>589</v>
      </c>
      <c r="T79" s="29" t="s">
        <v>318</v>
      </c>
      <c r="U79" s="31" t="s">
        <v>586</v>
      </c>
    </row>
    <row r="80" spans="1:21" ht="16.5" customHeight="1">
      <c r="A80" s="3" t="s">
        <v>72</v>
      </c>
      <c r="B80" s="87" t="s">
        <v>391</v>
      </c>
      <c r="C80" s="2">
        <v>1936</v>
      </c>
      <c r="D80" s="85" t="s">
        <v>99</v>
      </c>
      <c r="E80" s="2" t="s">
        <v>594</v>
      </c>
      <c r="F80" s="90">
        <v>2</v>
      </c>
      <c r="G80" s="90">
        <v>2</v>
      </c>
      <c r="H80" s="88">
        <v>721.66</v>
      </c>
      <c r="I80" s="89">
        <v>471.66</v>
      </c>
      <c r="J80" s="89">
        <f>I80-67.88</f>
        <v>403.78000000000003</v>
      </c>
      <c r="K80" s="90">
        <v>22</v>
      </c>
      <c r="L80" s="89">
        <f>'Таблица 2, 3 виды ремонта'!C75</f>
        <v>550000</v>
      </c>
      <c r="M80" s="1">
        <v>0</v>
      </c>
      <c r="N80" s="1">
        <v>0</v>
      </c>
      <c r="O80" s="1">
        <v>0</v>
      </c>
      <c r="P80" s="89">
        <f t="shared" si="2"/>
        <v>550000</v>
      </c>
      <c r="Q80" s="91" t="s">
        <v>339</v>
      </c>
      <c r="R80" s="27"/>
      <c r="S80" s="26" t="s">
        <v>589</v>
      </c>
      <c r="T80" s="29" t="s">
        <v>330</v>
      </c>
      <c r="U80" s="31" t="s">
        <v>586</v>
      </c>
    </row>
    <row r="81" spans="1:21" ht="16.5" customHeight="1">
      <c r="A81" s="3" t="s">
        <v>73</v>
      </c>
      <c r="B81" s="87" t="s">
        <v>392</v>
      </c>
      <c r="C81" s="2">
        <v>1987</v>
      </c>
      <c r="D81" s="85" t="s">
        <v>99</v>
      </c>
      <c r="E81" s="2" t="s">
        <v>594</v>
      </c>
      <c r="F81" s="90">
        <v>5</v>
      </c>
      <c r="G81" s="90">
        <v>1</v>
      </c>
      <c r="H81" s="88">
        <v>3186.3</v>
      </c>
      <c r="I81" s="89">
        <v>2886.3</v>
      </c>
      <c r="J81" s="1">
        <f>I81-81.7</f>
        <v>2804.6000000000004</v>
      </c>
      <c r="K81" s="90">
        <v>135</v>
      </c>
      <c r="L81" s="89">
        <f>'Таблица 2, 3 виды ремонта'!C76</f>
        <v>450000</v>
      </c>
      <c r="M81" s="1">
        <v>0</v>
      </c>
      <c r="N81" s="1">
        <v>0</v>
      </c>
      <c r="O81" s="1">
        <v>0</v>
      </c>
      <c r="P81" s="89">
        <f t="shared" si="2"/>
        <v>450000</v>
      </c>
      <c r="Q81" s="91" t="s">
        <v>339</v>
      </c>
      <c r="R81" s="27"/>
      <c r="S81" s="26" t="s">
        <v>589</v>
      </c>
      <c r="T81" s="29" t="s">
        <v>330</v>
      </c>
      <c r="U81" s="31" t="s">
        <v>586</v>
      </c>
    </row>
    <row r="82" spans="1:21" ht="16.5" customHeight="1">
      <c r="A82" s="3" t="s">
        <v>74</v>
      </c>
      <c r="B82" s="87" t="s">
        <v>393</v>
      </c>
      <c r="C82" s="2">
        <v>1938</v>
      </c>
      <c r="D82" s="85" t="s">
        <v>99</v>
      </c>
      <c r="E82" s="2" t="s">
        <v>594</v>
      </c>
      <c r="F82" s="90">
        <v>2</v>
      </c>
      <c r="G82" s="90">
        <v>2</v>
      </c>
      <c r="H82" s="88">
        <v>719.64</v>
      </c>
      <c r="I82" s="89">
        <v>469.64</v>
      </c>
      <c r="J82" s="89">
        <f>I82-138.06</f>
        <v>331.58</v>
      </c>
      <c r="K82" s="90">
        <v>21</v>
      </c>
      <c r="L82" s="89">
        <f>'Таблица 2, 3 виды ремонта'!C77</f>
        <v>700000</v>
      </c>
      <c r="M82" s="1">
        <v>0</v>
      </c>
      <c r="N82" s="1">
        <v>0</v>
      </c>
      <c r="O82" s="1">
        <v>0</v>
      </c>
      <c r="P82" s="89">
        <f t="shared" si="2"/>
        <v>700000</v>
      </c>
      <c r="Q82" s="91" t="s">
        <v>339</v>
      </c>
      <c r="R82" s="27"/>
      <c r="S82" s="26" t="s">
        <v>589</v>
      </c>
      <c r="T82" s="29" t="s">
        <v>318</v>
      </c>
      <c r="U82" s="31" t="s">
        <v>586</v>
      </c>
    </row>
    <row r="83" spans="1:21" ht="16.5" customHeight="1">
      <c r="A83" s="3" t="s">
        <v>75</v>
      </c>
      <c r="B83" s="87" t="s">
        <v>601</v>
      </c>
      <c r="C83" s="2">
        <v>1960</v>
      </c>
      <c r="D83" s="85" t="s">
        <v>99</v>
      </c>
      <c r="E83" s="2" t="s">
        <v>594</v>
      </c>
      <c r="F83" s="90">
        <v>4</v>
      </c>
      <c r="G83" s="90">
        <v>1</v>
      </c>
      <c r="H83" s="88">
        <v>2063.7</v>
      </c>
      <c r="I83" s="89">
        <v>1538.5</v>
      </c>
      <c r="J83" s="89">
        <f>I83-476.3</f>
        <v>1062.2</v>
      </c>
      <c r="K83" s="90">
        <v>73</v>
      </c>
      <c r="L83" s="89">
        <f>'Таблица 2, 3 виды ремонта'!C78</f>
        <v>450000</v>
      </c>
      <c r="M83" s="1">
        <v>0</v>
      </c>
      <c r="N83" s="1">
        <v>0</v>
      </c>
      <c r="O83" s="1">
        <v>0</v>
      </c>
      <c r="P83" s="89">
        <f t="shared" si="2"/>
        <v>450000</v>
      </c>
      <c r="Q83" s="91" t="s">
        <v>339</v>
      </c>
      <c r="R83" s="27"/>
      <c r="S83" s="26" t="s">
        <v>589</v>
      </c>
      <c r="T83" s="29" t="s">
        <v>330</v>
      </c>
      <c r="U83" s="31" t="s">
        <v>586</v>
      </c>
    </row>
    <row r="84" spans="1:21" ht="16.5" customHeight="1">
      <c r="A84" s="3" t="s">
        <v>76</v>
      </c>
      <c r="B84" s="87" t="s">
        <v>394</v>
      </c>
      <c r="C84" s="2">
        <v>1982</v>
      </c>
      <c r="D84" s="85" t="s">
        <v>99</v>
      </c>
      <c r="E84" s="2" t="s">
        <v>595</v>
      </c>
      <c r="F84" s="90">
        <v>9</v>
      </c>
      <c r="G84" s="90">
        <v>4</v>
      </c>
      <c r="H84" s="88">
        <v>11039.7</v>
      </c>
      <c r="I84" s="89">
        <v>10880.5</v>
      </c>
      <c r="J84" s="89">
        <f>I84-1465</f>
        <v>9415.5</v>
      </c>
      <c r="K84" s="90">
        <v>497</v>
      </c>
      <c r="L84" s="89">
        <f>'Таблица 2, 3 виды ремонта'!C79</f>
        <v>1750000</v>
      </c>
      <c r="M84" s="1">
        <v>0</v>
      </c>
      <c r="N84" s="1">
        <v>0</v>
      </c>
      <c r="O84" s="1">
        <v>0</v>
      </c>
      <c r="P84" s="89">
        <f t="shared" si="2"/>
        <v>1750000</v>
      </c>
      <c r="Q84" s="91" t="s">
        <v>339</v>
      </c>
      <c r="R84" s="25"/>
      <c r="S84" s="28" t="s">
        <v>588</v>
      </c>
      <c r="T84" s="29" t="s">
        <v>326</v>
      </c>
      <c r="U84" s="30" t="s">
        <v>586</v>
      </c>
    </row>
    <row r="85" spans="1:21" ht="16.5" customHeight="1">
      <c r="A85" s="3" t="s">
        <v>77</v>
      </c>
      <c r="B85" s="87" t="s">
        <v>395</v>
      </c>
      <c r="C85" s="2">
        <v>1950</v>
      </c>
      <c r="D85" s="85" t="s">
        <v>99</v>
      </c>
      <c r="E85" s="2" t="s">
        <v>594</v>
      </c>
      <c r="F85" s="90">
        <v>2</v>
      </c>
      <c r="G85" s="90">
        <v>2</v>
      </c>
      <c r="H85" s="88">
        <v>764</v>
      </c>
      <c r="I85" s="89">
        <v>764</v>
      </c>
      <c r="J85" s="89">
        <f>I85-0</f>
        <v>764</v>
      </c>
      <c r="K85" s="90">
        <v>36</v>
      </c>
      <c r="L85" s="89">
        <f>'Таблица 2, 3 виды ремонта'!C80</f>
        <v>900000</v>
      </c>
      <c r="M85" s="1">
        <v>0</v>
      </c>
      <c r="N85" s="1">
        <v>0</v>
      </c>
      <c r="O85" s="1">
        <v>0</v>
      </c>
      <c r="P85" s="89">
        <f t="shared" si="2"/>
        <v>900000</v>
      </c>
      <c r="Q85" s="91" t="s">
        <v>339</v>
      </c>
      <c r="R85" s="25"/>
      <c r="S85" s="28" t="s">
        <v>588</v>
      </c>
      <c r="T85" s="29" t="s">
        <v>318</v>
      </c>
      <c r="U85" s="30" t="s">
        <v>586</v>
      </c>
    </row>
    <row r="86" spans="1:21" ht="16.5" customHeight="1">
      <c r="A86" s="3" t="s">
        <v>78</v>
      </c>
      <c r="B86" s="87" t="s">
        <v>396</v>
      </c>
      <c r="C86" s="2">
        <v>1950</v>
      </c>
      <c r="D86" s="85" t="s">
        <v>99</v>
      </c>
      <c r="E86" s="2" t="s">
        <v>594</v>
      </c>
      <c r="F86" s="85">
        <v>2</v>
      </c>
      <c r="G86" s="85">
        <v>2</v>
      </c>
      <c r="H86" s="88">
        <v>756.7</v>
      </c>
      <c r="I86" s="89">
        <v>756.7</v>
      </c>
      <c r="J86" s="1">
        <f>I86-198</f>
        <v>558.7</v>
      </c>
      <c r="K86" s="90">
        <v>28</v>
      </c>
      <c r="L86" s="89">
        <f>'Таблица 2, 3 виды ремонта'!C81</f>
        <v>400000</v>
      </c>
      <c r="M86" s="1">
        <v>0</v>
      </c>
      <c r="N86" s="1">
        <v>0</v>
      </c>
      <c r="O86" s="1">
        <v>0</v>
      </c>
      <c r="P86" s="89">
        <f t="shared" si="2"/>
        <v>400000</v>
      </c>
      <c r="Q86" s="91" t="s">
        <v>339</v>
      </c>
      <c r="R86" s="25"/>
      <c r="S86" s="28" t="s">
        <v>588</v>
      </c>
      <c r="T86" s="29" t="s">
        <v>598</v>
      </c>
      <c r="U86" s="30" t="s">
        <v>591</v>
      </c>
    </row>
    <row r="87" spans="1:21" ht="16.5" customHeight="1">
      <c r="A87" s="3" t="s">
        <v>79</v>
      </c>
      <c r="B87" s="87" t="s">
        <v>397</v>
      </c>
      <c r="C87" s="2" t="s">
        <v>310</v>
      </c>
      <c r="D87" s="85" t="s">
        <v>99</v>
      </c>
      <c r="E87" s="2" t="s">
        <v>594</v>
      </c>
      <c r="F87" s="85">
        <v>5</v>
      </c>
      <c r="G87" s="85">
        <v>3</v>
      </c>
      <c r="H87" s="88">
        <v>3433.1</v>
      </c>
      <c r="I87" s="89">
        <v>1963.98</v>
      </c>
      <c r="J87" s="1">
        <f>I87-44.49</f>
        <v>1919.49</v>
      </c>
      <c r="K87" s="90">
        <v>94</v>
      </c>
      <c r="L87" s="89">
        <f>'Таблица 2, 3 виды ремонта'!C82</f>
        <v>1724288</v>
      </c>
      <c r="M87" s="1">
        <v>0</v>
      </c>
      <c r="N87" s="1">
        <v>0</v>
      </c>
      <c r="O87" s="1">
        <v>0</v>
      </c>
      <c r="P87" s="89">
        <f t="shared" si="2"/>
        <v>1724288</v>
      </c>
      <c r="Q87" s="91" t="s">
        <v>339</v>
      </c>
      <c r="R87" s="27" t="s">
        <v>606</v>
      </c>
      <c r="S87" s="26" t="s">
        <v>587</v>
      </c>
      <c r="T87" s="29" t="s">
        <v>329</v>
      </c>
      <c r="U87" s="31" t="s">
        <v>586</v>
      </c>
    </row>
    <row r="88" spans="1:21" ht="16.5" customHeight="1">
      <c r="A88" s="3" t="s">
        <v>80</v>
      </c>
      <c r="B88" s="87" t="s">
        <v>513</v>
      </c>
      <c r="C88" s="2">
        <v>1960</v>
      </c>
      <c r="D88" s="85" t="s">
        <v>99</v>
      </c>
      <c r="E88" s="2" t="s">
        <v>594</v>
      </c>
      <c r="F88" s="90">
        <v>5</v>
      </c>
      <c r="G88" s="90">
        <v>4</v>
      </c>
      <c r="H88" s="88">
        <v>4521.2</v>
      </c>
      <c r="I88" s="89">
        <v>3055.8</v>
      </c>
      <c r="J88" s="89">
        <f>I88-0</f>
        <v>3055.8</v>
      </c>
      <c r="K88" s="90">
        <v>136</v>
      </c>
      <c r="L88" s="89">
        <f>'Таблица 2, 3 виды ремонта'!C83</f>
        <v>1400000</v>
      </c>
      <c r="M88" s="1">
        <v>0</v>
      </c>
      <c r="N88" s="1">
        <v>0</v>
      </c>
      <c r="O88" s="1">
        <v>0</v>
      </c>
      <c r="P88" s="89">
        <f t="shared" si="2"/>
        <v>1400000</v>
      </c>
      <c r="Q88" s="91" t="s">
        <v>339</v>
      </c>
      <c r="R88" s="27"/>
      <c r="S88" s="26" t="s">
        <v>585</v>
      </c>
      <c r="T88" s="29" t="s">
        <v>325</v>
      </c>
      <c r="U88" s="31" t="s">
        <v>586</v>
      </c>
    </row>
    <row r="89" spans="1:21" ht="16.5" customHeight="1">
      <c r="A89" s="3" t="s">
        <v>81</v>
      </c>
      <c r="B89" s="87" t="s">
        <v>556</v>
      </c>
      <c r="C89" s="90">
        <v>1965</v>
      </c>
      <c r="D89" s="85" t="s">
        <v>99</v>
      </c>
      <c r="E89" s="2" t="s">
        <v>594</v>
      </c>
      <c r="F89" s="90">
        <v>5</v>
      </c>
      <c r="G89" s="90">
        <v>4</v>
      </c>
      <c r="H89" s="89">
        <v>3758.68</v>
      </c>
      <c r="I89" s="89">
        <v>2423.22</v>
      </c>
      <c r="J89" s="89">
        <f>I89-205.36</f>
        <v>2217.8599999999997</v>
      </c>
      <c r="K89" s="92">
        <v>118</v>
      </c>
      <c r="L89" s="89">
        <f>'Таблица 2, 3 виды ремонта'!C84</f>
        <v>1350000</v>
      </c>
      <c r="M89" s="1">
        <v>0</v>
      </c>
      <c r="N89" s="1">
        <v>0</v>
      </c>
      <c r="O89" s="1">
        <v>0</v>
      </c>
      <c r="P89" s="89">
        <f t="shared" si="2"/>
        <v>1350000</v>
      </c>
      <c r="Q89" s="91" t="s">
        <v>339</v>
      </c>
      <c r="R89" s="27"/>
      <c r="S89" s="26" t="s">
        <v>589</v>
      </c>
      <c r="T89" s="29" t="s">
        <v>605</v>
      </c>
      <c r="U89" s="31" t="s">
        <v>586</v>
      </c>
    </row>
    <row r="90" spans="1:21" ht="16.5" customHeight="1">
      <c r="A90" s="3" t="s">
        <v>82</v>
      </c>
      <c r="B90" s="87" t="s">
        <v>514</v>
      </c>
      <c r="C90" s="2" t="s">
        <v>315</v>
      </c>
      <c r="D90" s="85" t="s">
        <v>99</v>
      </c>
      <c r="E90" s="2" t="s">
        <v>594</v>
      </c>
      <c r="F90" s="90">
        <v>10</v>
      </c>
      <c r="G90" s="90">
        <v>8</v>
      </c>
      <c r="H90" s="88">
        <v>15155.71</v>
      </c>
      <c r="I90" s="89">
        <v>13321.81</v>
      </c>
      <c r="J90" s="89">
        <f>I90-66.42</f>
        <v>13255.39</v>
      </c>
      <c r="K90" s="90">
        <v>598</v>
      </c>
      <c r="L90" s="89">
        <f>'Таблица 2, 3 виды ремонта'!C85</f>
        <v>8603322</v>
      </c>
      <c r="M90" s="1">
        <v>0</v>
      </c>
      <c r="N90" s="1">
        <v>0</v>
      </c>
      <c r="O90" s="1">
        <v>0</v>
      </c>
      <c r="P90" s="89">
        <f t="shared" si="2"/>
        <v>8603322</v>
      </c>
      <c r="Q90" s="91" t="s">
        <v>339</v>
      </c>
      <c r="R90" s="27"/>
      <c r="S90" s="26" t="s">
        <v>589</v>
      </c>
      <c r="T90" s="29" t="s">
        <v>319</v>
      </c>
      <c r="U90" s="31" t="s">
        <v>586</v>
      </c>
    </row>
    <row r="91" spans="1:21" ht="16.5" customHeight="1">
      <c r="A91" s="3" t="s">
        <v>83</v>
      </c>
      <c r="B91" s="87" t="s">
        <v>515</v>
      </c>
      <c r="C91" s="2" t="s">
        <v>316</v>
      </c>
      <c r="D91" s="85" t="s">
        <v>99</v>
      </c>
      <c r="E91" s="2" t="s">
        <v>594</v>
      </c>
      <c r="F91" s="90">
        <v>4</v>
      </c>
      <c r="G91" s="90">
        <v>3</v>
      </c>
      <c r="H91" s="88">
        <v>2829.35</v>
      </c>
      <c r="I91" s="89">
        <v>2393.55</v>
      </c>
      <c r="J91" s="89">
        <f>I91-239.6</f>
        <v>2153.9500000000003</v>
      </c>
      <c r="K91" s="90">
        <v>111</v>
      </c>
      <c r="L91" s="89">
        <f>'Таблица 2, 3 виды ремонта'!C86</f>
        <v>2662247</v>
      </c>
      <c r="M91" s="1">
        <v>0</v>
      </c>
      <c r="N91" s="1">
        <v>0</v>
      </c>
      <c r="O91" s="1">
        <v>0</v>
      </c>
      <c r="P91" s="89">
        <f t="shared" si="2"/>
        <v>2662247</v>
      </c>
      <c r="Q91" s="91" t="s">
        <v>339</v>
      </c>
      <c r="R91" s="27"/>
      <c r="S91" s="26" t="s">
        <v>589</v>
      </c>
      <c r="T91" s="29" t="s">
        <v>325</v>
      </c>
      <c r="U91" s="31" t="s">
        <v>586</v>
      </c>
    </row>
    <row r="92" spans="1:21" ht="16.5" customHeight="1">
      <c r="A92" s="3" t="s">
        <v>84</v>
      </c>
      <c r="B92" s="87" t="s">
        <v>398</v>
      </c>
      <c r="C92" s="2">
        <v>1982</v>
      </c>
      <c r="D92" s="85" t="s">
        <v>99</v>
      </c>
      <c r="E92" s="2" t="s">
        <v>594</v>
      </c>
      <c r="F92" s="85">
        <v>5</v>
      </c>
      <c r="G92" s="85">
        <v>2</v>
      </c>
      <c r="H92" s="88">
        <v>3471.9</v>
      </c>
      <c r="I92" s="89">
        <v>3471.9</v>
      </c>
      <c r="J92" s="1">
        <f>I92-2298</f>
        <v>1173.9</v>
      </c>
      <c r="K92" s="90">
        <v>295</v>
      </c>
      <c r="L92" s="89">
        <f>'Таблица 2, 3 виды ремонта'!C87</f>
        <v>550000</v>
      </c>
      <c r="M92" s="1">
        <v>0</v>
      </c>
      <c r="N92" s="1">
        <v>0</v>
      </c>
      <c r="O92" s="1">
        <v>0</v>
      </c>
      <c r="P92" s="89">
        <f t="shared" si="2"/>
        <v>550000</v>
      </c>
      <c r="Q92" s="91" t="s">
        <v>339</v>
      </c>
      <c r="R92" s="27"/>
      <c r="S92" s="26" t="s">
        <v>587</v>
      </c>
      <c r="T92" s="29" t="s">
        <v>330</v>
      </c>
      <c r="U92" s="31" t="s">
        <v>586</v>
      </c>
    </row>
    <row r="93" spans="1:21" ht="16.5" customHeight="1">
      <c r="A93" s="3" t="s">
        <v>85</v>
      </c>
      <c r="B93" s="87" t="s">
        <v>399</v>
      </c>
      <c r="C93" s="2">
        <v>1982</v>
      </c>
      <c r="D93" s="85" t="s">
        <v>99</v>
      </c>
      <c r="E93" s="2" t="s">
        <v>594</v>
      </c>
      <c r="F93" s="90">
        <v>5</v>
      </c>
      <c r="G93" s="90">
        <v>2</v>
      </c>
      <c r="H93" s="88">
        <v>3546.4</v>
      </c>
      <c r="I93" s="89">
        <v>3546.4</v>
      </c>
      <c r="J93" s="89">
        <f>I93-819.5</f>
        <v>2726.9</v>
      </c>
      <c r="K93" s="90">
        <v>218</v>
      </c>
      <c r="L93" s="89">
        <f>'Таблица 2, 3 виды ремонта'!C88</f>
        <v>550000</v>
      </c>
      <c r="M93" s="1">
        <v>0</v>
      </c>
      <c r="N93" s="1">
        <v>0</v>
      </c>
      <c r="O93" s="1">
        <v>0</v>
      </c>
      <c r="P93" s="89">
        <f t="shared" si="2"/>
        <v>550000</v>
      </c>
      <c r="Q93" s="91" t="s">
        <v>339</v>
      </c>
      <c r="R93" s="27"/>
      <c r="S93" s="26" t="s">
        <v>587</v>
      </c>
      <c r="T93" s="29" t="s">
        <v>330</v>
      </c>
      <c r="U93" s="31" t="s">
        <v>591</v>
      </c>
    </row>
    <row r="94" spans="1:21" ht="16.5" customHeight="1">
      <c r="A94" s="3" t="s">
        <v>86</v>
      </c>
      <c r="B94" s="87" t="s">
        <v>400</v>
      </c>
      <c r="C94" s="2">
        <v>1943</v>
      </c>
      <c r="D94" s="85" t="s">
        <v>99</v>
      </c>
      <c r="E94" s="2" t="s">
        <v>594</v>
      </c>
      <c r="F94" s="90">
        <v>1</v>
      </c>
      <c r="G94" s="90">
        <v>1</v>
      </c>
      <c r="H94" s="88">
        <v>281.8</v>
      </c>
      <c r="I94" s="89">
        <v>281.8</v>
      </c>
      <c r="J94" s="89">
        <f>I94-44.8</f>
        <v>237</v>
      </c>
      <c r="K94" s="90">
        <v>13</v>
      </c>
      <c r="L94" s="89">
        <f>'Таблица 2, 3 виды ремонта'!C89</f>
        <v>400000</v>
      </c>
      <c r="M94" s="1">
        <v>0</v>
      </c>
      <c r="N94" s="1">
        <v>0</v>
      </c>
      <c r="O94" s="1">
        <v>0</v>
      </c>
      <c r="P94" s="89">
        <f t="shared" si="2"/>
        <v>400000</v>
      </c>
      <c r="Q94" s="91" t="s">
        <v>339</v>
      </c>
      <c r="R94" s="27"/>
      <c r="S94" s="26" t="s">
        <v>587</v>
      </c>
      <c r="T94" s="29" t="s">
        <v>325</v>
      </c>
      <c r="U94" s="31" t="s">
        <v>586</v>
      </c>
    </row>
    <row r="95" spans="1:21" ht="16.5" customHeight="1">
      <c r="A95" s="3" t="s">
        <v>87</v>
      </c>
      <c r="B95" s="87" t="s">
        <v>401</v>
      </c>
      <c r="C95" s="2">
        <v>1950</v>
      </c>
      <c r="D95" s="85" t="s">
        <v>99</v>
      </c>
      <c r="E95" s="2" t="s">
        <v>594</v>
      </c>
      <c r="F95" s="90">
        <v>2</v>
      </c>
      <c r="G95" s="90">
        <v>2</v>
      </c>
      <c r="H95" s="88">
        <v>1090.99</v>
      </c>
      <c r="I95" s="89">
        <v>933</v>
      </c>
      <c r="J95" s="89">
        <f>I95-196.09</f>
        <v>736.91</v>
      </c>
      <c r="K95" s="90">
        <v>42</v>
      </c>
      <c r="L95" s="89">
        <f>'Таблица 2, 3 виды ремонта'!C90</f>
        <v>500000</v>
      </c>
      <c r="M95" s="1">
        <v>0</v>
      </c>
      <c r="N95" s="1">
        <v>0</v>
      </c>
      <c r="O95" s="1">
        <v>0</v>
      </c>
      <c r="P95" s="89">
        <f t="shared" si="2"/>
        <v>500000</v>
      </c>
      <c r="Q95" s="91" t="s">
        <v>339</v>
      </c>
      <c r="R95" s="27"/>
      <c r="S95" s="26" t="s">
        <v>590</v>
      </c>
      <c r="T95" s="29" t="s">
        <v>318</v>
      </c>
      <c r="U95" s="31" t="s">
        <v>586</v>
      </c>
    </row>
    <row r="96" spans="1:21" ht="16.5" customHeight="1">
      <c r="A96" s="3" t="s">
        <v>88</v>
      </c>
      <c r="B96" s="87" t="s">
        <v>402</v>
      </c>
      <c r="C96" s="2">
        <v>1961</v>
      </c>
      <c r="D96" s="85" t="s">
        <v>99</v>
      </c>
      <c r="E96" s="2" t="s">
        <v>594</v>
      </c>
      <c r="F96" s="90">
        <v>5</v>
      </c>
      <c r="G96" s="90">
        <v>1</v>
      </c>
      <c r="H96" s="88">
        <v>4206</v>
      </c>
      <c r="I96" s="89">
        <v>3743.8</v>
      </c>
      <c r="J96" s="89">
        <f>I96-1053.8</f>
        <v>2690</v>
      </c>
      <c r="K96" s="90">
        <v>187</v>
      </c>
      <c r="L96" s="89">
        <f>'Таблица 2, 3 виды ремонта'!C91</f>
        <v>1155600</v>
      </c>
      <c r="M96" s="1">
        <v>0</v>
      </c>
      <c r="N96" s="1">
        <v>0</v>
      </c>
      <c r="O96" s="1">
        <v>0</v>
      </c>
      <c r="P96" s="89">
        <f aca="true" t="shared" si="3" ref="P96:P131">L96</f>
        <v>1155600</v>
      </c>
      <c r="Q96" s="91" t="s">
        <v>339</v>
      </c>
      <c r="R96" s="25"/>
      <c r="S96" s="26" t="s">
        <v>587</v>
      </c>
      <c r="T96" s="29" t="s">
        <v>320</v>
      </c>
      <c r="U96" s="31" t="s">
        <v>586</v>
      </c>
    </row>
    <row r="97" spans="1:21" ht="16.5" customHeight="1">
      <c r="A97" s="3" t="s">
        <v>89</v>
      </c>
      <c r="B97" s="87" t="s">
        <v>559</v>
      </c>
      <c r="C97" s="90">
        <v>1957</v>
      </c>
      <c r="D97" s="85" t="s">
        <v>99</v>
      </c>
      <c r="E97" s="2" t="s">
        <v>594</v>
      </c>
      <c r="F97" s="90">
        <v>4</v>
      </c>
      <c r="G97" s="90">
        <v>4</v>
      </c>
      <c r="H97" s="89">
        <v>2564.21</v>
      </c>
      <c r="I97" s="89">
        <v>2564.21</v>
      </c>
      <c r="J97" s="89">
        <f>I97-393.4</f>
        <v>2170.81</v>
      </c>
      <c r="K97" s="92">
        <v>127</v>
      </c>
      <c r="L97" s="89">
        <f>'Таблица 2, 3 виды ремонта'!C92</f>
        <v>600000</v>
      </c>
      <c r="M97" s="1">
        <v>0</v>
      </c>
      <c r="N97" s="1">
        <v>0</v>
      </c>
      <c r="O97" s="1">
        <v>0</v>
      </c>
      <c r="P97" s="89">
        <f t="shared" si="3"/>
        <v>600000</v>
      </c>
      <c r="Q97" s="91" t="s">
        <v>339</v>
      </c>
      <c r="R97" s="27"/>
      <c r="S97" s="32" t="s">
        <v>588</v>
      </c>
      <c r="T97" s="29" t="s">
        <v>323</v>
      </c>
      <c r="U97" s="31" t="s">
        <v>586</v>
      </c>
    </row>
    <row r="98" spans="1:21" ht="16.5" customHeight="1">
      <c r="A98" s="3" t="s">
        <v>90</v>
      </c>
      <c r="B98" s="87" t="s">
        <v>572</v>
      </c>
      <c r="C98" s="99">
        <v>1914</v>
      </c>
      <c r="D98" s="85" t="s">
        <v>99</v>
      </c>
      <c r="E98" s="2" t="s">
        <v>594</v>
      </c>
      <c r="F98" s="90">
        <v>2</v>
      </c>
      <c r="G98" s="90">
        <v>2</v>
      </c>
      <c r="H98" s="88">
        <v>1176</v>
      </c>
      <c r="I98" s="89">
        <v>1089.08</v>
      </c>
      <c r="J98" s="89">
        <f>I98-100.85</f>
        <v>988.2299999999999</v>
      </c>
      <c r="K98" s="90">
        <v>10</v>
      </c>
      <c r="L98" s="89">
        <f>'Таблица 2, 3 виды ремонта'!C93</f>
        <v>1000000</v>
      </c>
      <c r="M98" s="1">
        <v>0</v>
      </c>
      <c r="N98" s="1">
        <v>0</v>
      </c>
      <c r="O98" s="1">
        <v>0</v>
      </c>
      <c r="P98" s="89">
        <f t="shared" si="3"/>
        <v>1000000</v>
      </c>
      <c r="Q98" s="91" t="s">
        <v>339</v>
      </c>
      <c r="R98" s="27"/>
      <c r="S98" s="26" t="s">
        <v>592</v>
      </c>
      <c r="T98" s="29" t="s">
        <v>320</v>
      </c>
      <c r="U98" s="31" t="s">
        <v>586</v>
      </c>
    </row>
    <row r="99" spans="1:21" ht="16.5" customHeight="1">
      <c r="A99" s="3" t="s">
        <v>91</v>
      </c>
      <c r="B99" s="87" t="s">
        <v>573</v>
      </c>
      <c r="C99" s="97">
        <v>1917</v>
      </c>
      <c r="D99" s="85" t="s">
        <v>99</v>
      </c>
      <c r="E99" s="90" t="s">
        <v>340</v>
      </c>
      <c r="F99" s="90">
        <v>2</v>
      </c>
      <c r="G99" s="90">
        <v>1</v>
      </c>
      <c r="H99" s="88">
        <v>250.18</v>
      </c>
      <c r="I99" s="89">
        <v>250.18</v>
      </c>
      <c r="J99" s="89">
        <f>I99-188.68</f>
        <v>61.5</v>
      </c>
      <c r="K99" s="90">
        <v>17</v>
      </c>
      <c r="L99" s="89">
        <f>'Таблица 2, 3 виды ремонта'!C94</f>
        <v>500000</v>
      </c>
      <c r="M99" s="1">
        <v>0</v>
      </c>
      <c r="N99" s="1">
        <v>0</v>
      </c>
      <c r="O99" s="1">
        <v>0</v>
      </c>
      <c r="P99" s="89">
        <f t="shared" si="3"/>
        <v>500000</v>
      </c>
      <c r="Q99" s="91" t="s">
        <v>339</v>
      </c>
      <c r="R99" s="27" t="s">
        <v>606</v>
      </c>
      <c r="S99" s="26" t="s">
        <v>592</v>
      </c>
      <c r="T99" s="29" t="s">
        <v>318</v>
      </c>
      <c r="U99" s="31" t="s">
        <v>586</v>
      </c>
    </row>
    <row r="100" spans="1:21" ht="16.5" customHeight="1">
      <c r="A100" s="3" t="s">
        <v>92</v>
      </c>
      <c r="B100" s="87" t="s">
        <v>574</v>
      </c>
      <c r="C100" s="99" t="s">
        <v>108</v>
      </c>
      <c r="D100" s="85" t="s">
        <v>99</v>
      </c>
      <c r="E100" s="2" t="s">
        <v>594</v>
      </c>
      <c r="F100" s="90">
        <v>3</v>
      </c>
      <c r="G100" s="90">
        <v>3</v>
      </c>
      <c r="H100" s="88">
        <v>1052</v>
      </c>
      <c r="I100" s="89">
        <v>987.43</v>
      </c>
      <c r="J100" s="89">
        <f>I100-68.2</f>
        <v>919.2299999999999</v>
      </c>
      <c r="K100" s="90">
        <v>13</v>
      </c>
      <c r="L100" s="89">
        <f>'Таблица 2, 3 виды ремонта'!C95</f>
        <v>1005000</v>
      </c>
      <c r="M100" s="1">
        <v>0</v>
      </c>
      <c r="N100" s="1">
        <v>0</v>
      </c>
      <c r="O100" s="1">
        <v>0</v>
      </c>
      <c r="P100" s="89">
        <f t="shared" si="3"/>
        <v>1005000</v>
      </c>
      <c r="Q100" s="91" t="s">
        <v>339</v>
      </c>
      <c r="R100" s="27"/>
      <c r="S100" s="26" t="s">
        <v>592</v>
      </c>
      <c r="T100" s="29" t="s">
        <v>609</v>
      </c>
      <c r="U100" s="31" t="s">
        <v>586</v>
      </c>
    </row>
    <row r="101" spans="1:21" ht="16.5" customHeight="1">
      <c r="A101" s="3" t="s">
        <v>93</v>
      </c>
      <c r="B101" s="87" t="s">
        <v>575</v>
      </c>
      <c r="C101" s="100" t="s">
        <v>108</v>
      </c>
      <c r="D101" s="85" t="s">
        <v>99</v>
      </c>
      <c r="E101" s="2" t="s">
        <v>594</v>
      </c>
      <c r="F101" s="90">
        <v>4</v>
      </c>
      <c r="G101" s="90">
        <v>3</v>
      </c>
      <c r="H101" s="88">
        <v>1819.86</v>
      </c>
      <c r="I101" s="89">
        <v>1756.19</v>
      </c>
      <c r="J101" s="89">
        <f>I101-585.4</f>
        <v>1170.79</v>
      </c>
      <c r="K101" s="90">
        <v>61</v>
      </c>
      <c r="L101" s="89">
        <f>'Таблица 2, 3 виды ремонта'!C96</f>
        <v>1005000</v>
      </c>
      <c r="M101" s="1">
        <v>0</v>
      </c>
      <c r="N101" s="1">
        <v>0</v>
      </c>
      <c r="O101" s="1">
        <v>0</v>
      </c>
      <c r="P101" s="89">
        <f t="shared" si="3"/>
        <v>1005000</v>
      </c>
      <c r="Q101" s="91" t="s">
        <v>339</v>
      </c>
      <c r="R101" s="27" t="s">
        <v>606</v>
      </c>
      <c r="S101" s="26" t="s">
        <v>592</v>
      </c>
      <c r="T101" s="29" t="s">
        <v>328</v>
      </c>
      <c r="U101" s="31" t="s">
        <v>586</v>
      </c>
    </row>
    <row r="102" spans="1:21" ht="16.5" customHeight="1">
      <c r="A102" s="3" t="s">
        <v>94</v>
      </c>
      <c r="B102" s="87" t="s">
        <v>576</v>
      </c>
      <c r="C102" s="99">
        <v>1956</v>
      </c>
      <c r="D102" s="85" t="s">
        <v>99</v>
      </c>
      <c r="E102" s="2" t="s">
        <v>594</v>
      </c>
      <c r="F102" s="90">
        <v>2</v>
      </c>
      <c r="G102" s="90">
        <v>2</v>
      </c>
      <c r="H102" s="88">
        <v>452</v>
      </c>
      <c r="I102" s="89">
        <v>388.9</v>
      </c>
      <c r="J102" s="89">
        <f>I102-62.6</f>
        <v>326.29999999999995</v>
      </c>
      <c r="K102" s="90">
        <v>18</v>
      </c>
      <c r="L102" s="89">
        <f>'Таблица 2, 3 виды ремонта'!C97</f>
        <v>1000000</v>
      </c>
      <c r="M102" s="1">
        <v>0</v>
      </c>
      <c r="N102" s="1">
        <v>0</v>
      </c>
      <c r="O102" s="1">
        <v>0</v>
      </c>
      <c r="P102" s="89">
        <f t="shared" si="3"/>
        <v>1000000</v>
      </c>
      <c r="Q102" s="91" t="s">
        <v>339</v>
      </c>
      <c r="R102" s="27" t="s">
        <v>606</v>
      </c>
      <c r="S102" s="26" t="s">
        <v>592</v>
      </c>
      <c r="T102" s="29" t="s">
        <v>320</v>
      </c>
      <c r="U102" s="31" t="s">
        <v>586</v>
      </c>
    </row>
    <row r="103" spans="1:21" ht="16.5" customHeight="1">
      <c r="A103" s="3" t="s">
        <v>95</v>
      </c>
      <c r="B103" s="87" t="s">
        <v>403</v>
      </c>
      <c r="C103" s="2">
        <v>1953</v>
      </c>
      <c r="D103" s="85" t="s">
        <v>99</v>
      </c>
      <c r="E103" s="2" t="s">
        <v>594</v>
      </c>
      <c r="F103" s="90">
        <v>3</v>
      </c>
      <c r="G103" s="90">
        <v>2</v>
      </c>
      <c r="H103" s="88">
        <v>1154.4</v>
      </c>
      <c r="I103" s="89">
        <v>944.2</v>
      </c>
      <c r="J103" s="89">
        <f>I103-252.8</f>
        <v>691.4000000000001</v>
      </c>
      <c r="K103" s="90">
        <v>45</v>
      </c>
      <c r="L103" s="89">
        <f>'Таблица 2, 3 виды ремонта'!C98</f>
        <v>500000</v>
      </c>
      <c r="M103" s="1">
        <v>0</v>
      </c>
      <c r="N103" s="1">
        <v>0</v>
      </c>
      <c r="O103" s="1">
        <v>0</v>
      </c>
      <c r="P103" s="89">
        <f t="shared" si="3"/>
        <v>500000</v>
      </c>
      <c r="Q103" s="91" t="s">
        <v>339</v>
      </c>
      <c r="R103" s="27"/>
      <c r="S103" s="26" t="s">
        <v>590</v>
      </c>
      <c r="T103" s="29" t="s">
        <v>318</v>
      </c>
      <c r="U103" s="31" t="s">
        <v>586</v>
      </c>
    </row>
    <row r="104" spans="1:21" ht="16.5" customHeight="1">
      <c r="A104" s="3" t="s">
        <v>96</v>
      </c>
      <c r="B104" s="87" t="s">
        <v>404</v>
      </c>
      <c r="C104" s="2">
        <v>1958</v>
      </c>
      <c r="D104" s="85" t="s">
        <v>99</v>
      </c>
      <c r="E104" s="2" t="s">
        <v>594</v>
      </c>
      <c r="F104" s="90">
        <v>3</v>
      </c>
      <c r="G104" s="90">
        <v>2</v>
      </c>
      <c r="H104" s="88">
        <v>1082.02</v>
      </c>
      <c r="I104" s="89">
        <v>1007.42</v>
      </c>
      <c r="J104" s="89">
        <f>I104-129.8</f>
        <v>877.6199999999999</v>
      </c>
      <c r="K104" s="90">
        <v>46</v>
      </c>
      <c r="L104" s="89">
        <f>'Таблица 2, 3 виды ремонта'!C99</f>
        <v>500000</v>
      </c>
      <c r="M104" s="1">
        <v>0</v>
      </c>
      <c r="N104" s="1">
        <v>0</v>
      </c>
      <c r="O104" s="1">
        <v>0</v>
      </c>
      <c r="P104" s="89">
        <f t="shared" si="3"/>
        <v>500000</v>
      </c>
      <c r="Q104" s="91" t="s">
        <v>339</v>
      </c>
      <c r="R104" s="27"/>
      <c r="S104" s="26" t="s">
        <v>590</v>
      </c>
      <c r="T104" s="29" t="s">
        <v>318</v>
      </c>
      <c r="U104" s="31" t="s">
        <v>586</v>
      </c>
    </row>
    <row r="105" spans="1:21" ht="16.5" customHeight="1">
      <c r="A105" s="3" t="s">
        <v>97</v>
      </c>
      <c r="B105" s="87" t="s">
        <v>405</v>
      </c>
      <c r="C105" s="2">
        <v>1981</v>
      </c>
      <c r="D105" s="85" t="s">
        <v>99</v>
      </c>
      <c r="E105" s="2" t="s">
        <v>594</v>
      </c>
      <c r="F105" s="90">
        <v>5</v>
      </c>
      <c r="G105" s="90">
        <v>4</v>
      </c>
      <c r="H105" s="88">
        <v>3874.5</v>
      </c>
      <c r="I105" s="89">
        <v>2790.7</v>
      </c>
      <c r="J105" s="89">
        <f>I105-0</f>
        <v>2790.7</v>
      </c>
      <c r="K105" s="90">
        <v>131</v>
      </c>
      <c r="L105" s="89">
        <f>'Таблица 2, 3 виды ремонта'!C100</f>
        <v>900000</v>
      </c>
      <c r="M105" s="1">
        <v>0</v>
      </c>
      <c r="N105" s="1">
        <v>0</v>
      </c>
      <c r="O105" s="1">
        <v>0</v>
      </c>
      <c r="P105" s="89">
        <f t="shared" si="3"/>
        <v>900000</v>
      </c>
      <c r="Q105" s="91" t="s">
        <v>339</v>
      </c>
      <c r="R105" s="27"/>
      <c r="S105" s="26" t="s">
        <v>590</v>
      </c>
      <c r="T105" s="29" t="s">
        <v>326</v>
      </c>
      <c r="U105" s="31" t="s">
        <v>591</v>
      </c>
    </row>
    <row r="106" spans="1:21" ht="16.5" customHeight="1">
      <c r="A106" s="3" t="s">
        <v>98</v>
      </c>
      <c r="B106" s="87" t="s">
        <v>406</v>
      </c>
      <c r="C106" s="2">
        <v>1959</v>
      </c>
      <c r="D106" s="85" t="s">
        <v>99</v>
      </c>
      <c r="E106" s="2" t="s">
        <v>594</v>
      </c>
      <c r="F106" s="90">
        <v>2</v>
      </c>
      <c r="G106" s="90">
        <v>1</v>
      </c>
      <c r="H106" s="88">
        <v>278.6</v>
      </c>
      <c r="I106" s="89">
        <v>278.6</v>
      </c>
      <c r="J106" s="89">
        <f>I106-0</f>
        <v>278.6</v>
      </c>
      <c r="K106" s="90">
        <v>12</v>
      </c>
      <c r="L106" s="89">
        <f>'Таблица 2, 3 виды ремонта'!C101</f>
        <v>300000</v>
      </c>
      <c r="M106" s="1">
        <v>0</v>
      </c>
      <c r="N106" s="1">
        <v>0</v>
      </c>
      <c r="O106" s="1">
        <v>0</v>
      </c>
      <c r="P106" s="89">
        <f t="shared" si="3"/>
        <v>300000</v>
      </c>
      <c r="Q106" s="91" t="s">
        <v>339</v>
      </c>
      <c r="R106" s="25"/>
      <c r="S106" s="26" t="s">
        <v>587</v>
      </c>
      <c r="T106" s="29" t="s">
        <v>322</v>
      </c>
      <c r="U106" s="31" t="s">
        <v>586</v>
      </c>
    </row>
    <row r="107" spans="1:21" ht="16.5" customHeight="1">
      <c r="A107" s="3" t="s">
        <v>109</v>
      </c>
      <c r="B107" s="87" t="s">
        <v>407</v>
      </c>
      <c r="C107" s="2">
        <v>1961</v>
      </c>
      <c r="D107" s="85" t="s">
        <v>99</v>
      </c>
      <c r="E107" s="2" t="s">
        <v>594</v>
      </c>
      <c r="F107" s="90">
        <v>2</v>
      </c>
      <c r="G107" s="90">
        <v>1</v>
      </c>
      <c r="H107" s="88">
        <v>280.7</v>
      </c>
      <c r="I107" s="89">
        <v>280.7</v>
      </c>
      <c r="J107" s="89">
        <f>I107-39</f>
        <v>241.7</v>
      </c>
      <c r="K107" s="90">
        <v>14</v>
      </c>
      <c r="L107" s="89">
        <f>'Таблица 2, 3 виды ремонта'!C102</f>
        <v>750000</v>
      </c>
      <c r="M107" s="1">
        <v>0</v>
      </c>
      <c r="N107" s="1">
        <v>0</v>
      </c>
      <c r="O107" s="1">
        <v>0</v>
      </c>
      <c r="P107" s="89">
        <f t="shared" si="3"/>
        <v>750000</v>
      </c>
      <c r="Q107" s="91" t="s">
        <v>339</v>
      </c>
      <c r="R107" s="27"/>
      <c r="S107" s="26" t="s">
        <v>587</v>
      </c>
      <c r="T107" s="29" t="s">
        <v>325</v>
      </c>
      <c r="U107" s="31" t="s">
        <v>586</v>
      </c>
    </row>
    <row r="108" spans="1:21" ht="16.5" customHeight="1">
      <c r="A108" s="3" t="s">
        <v>110</v>
      </c>
      <c r="B108" s="87" t="s">
        <v>408</v>
      </c>
      <c r="C108" s="2">
        <v>1980</v>
      </c>
      <c r="D108" s="85" t="s">
        <v>99</v>
      </c>
      <c r="E108" s="2" t="s">
        <v>594</v>
      </c>
      <c r="F108" s="90">
        <v>9</v>
      </c>
      <c r="G108" s="90">
        <v>1</v>
      </c>
      <c r="H108" s="88">
        <v>5894.75</v>
      </c>
      <c r="I108" s="89">
        <v>4909.75</v>
      </c>
      <c r="J108" s="89">
        <f>I108-389.35</f>
        <v>4520.4</v>
      </c>
      <c r="K108" s="90">
        <v>228</v>
      </c>
      <c r="L108" s="89">
        <f>'Таблица 2, 3 виды ремонта'!C103</f>
        <v>3650000</v>
      </c>
      <c r="M108" s="1">
        <v>0</v>
      </c>
      <c r="N108" s="1">
        <v>0</v>
      </c>
      <c r="O108" s="1">
        <v>0</v>
      </c>
      <c r="P108" s="89">
        <f t="shared" si="3"/>
        <v>3650000</v>
      </c>
      <c r="Q108" s="91" t="s">
        <v>339</v>
      </c>
      <c r="R108" s="27"/>
      <c r="S108" s="26" t="s">
        <v>589</v>
      </c>
      <c r="T108" s="29" t="s">
        <v>319</v>
      </c>
      <c r="U108" s="31" t="s">
        <v>586</v>
      </c>
    </row>
    <row r="109" spans="1:21" ht="16.5" customHeight="1">
      <c r="A109" s="3" t="s">
        <v>111</v>
      </c>
      <c r="B109" s="87" t="s">
        <v>409</v>
      </c>
      <c r="C109" s="2">
        <v>1980</v>
      </c>
      <c r="D109" s="85" t="s">
        <v>99</v>
      </c>
      <c r="E109" s="2" t="s">
        <v>594</v>
      </c>
      <c r="F109" s="90">
        <v>9</v>
      </c>
      <c r="G109" s="90">
        <v>1</v>
      </c>
      <c r="H109" s="88">
        <v>5970.58</v>
      </c>
      <c r="I109" s="89">
        <v>4985.58</v>
      </c>
      <c r="J109" s="89">
        <f>I109-481.8</f>
        <v>4503.78</v>
      </c>
      <c r="K109" s="90">
        <v>222</v>
      </c>
      <c r="L109" s="89">
        <f>'Таблица 2, 3 виды ремонта'!C104</f>
        <v>3650000</v>
      </c>
      <c r="M109" s="1">
        <v>0</v>
      </c>
      <c r="N109" s="1">
        <v>0</v>
      </c>
      <c r="O109" s="1">
        <v>0</v>
      </c>
      <c r="P109" s="89">
        <f t="shared" si="3"/>
        <v>3650000</v>
      </c>
      <c r="Q109" s="91" t="s">
        <v>339</v>
      </c>
      <c r="R109" s="27"/>
      <c r="S109" s="26" t="s">
        <v>589</v>
      </c>
      <c r="T109" s="29" t="s">
        <v>319</v>
      </c>
      <c r="U109" s="31" t="s">
        <v>586</v>
      </c>
    </row>
    <row r="110" spans="1:21" ht="16.5" customHeight="1">
      <c r="A110" s="3" t="s">
        <v>112</v>
      </c>
      <c r="B110" s="87" t="s">
        <v>410</v>
      </c>
      <c r="C110" s="2">
        <v>1961</v>
      </c>
      <c r="D110" s="85" t="s">
        <v>99</v>
      </c>
      <c r="E110" s="2" t="s">
        <v>594</v>
      </c>
      <c r="F110" s="90">
        <v>3</v>
      </c>
      <c r="G110" s="90">
        <v>2</v>
      </c>
      <c r="H110" s="88">
        <v>1069.25</v>
      </c>
      <c r="I110" s="89">
        <v>1069.25</v>
      </c>
      <c r="J110" s="89">
        <f>I110-83.9</f>
        <v>985.35</v>
      </c>
      <c r="K110" s="90">
        <v>53</v>
      </c>
      <c r="L110" s="89">
        <f>'Таблица 2, 3 виды ремонта'!C105</f>
        <v>450000</v>
      </c>
      <c r="M110" s="1">
        <v>0</v>
      </c>
      <c r="N110" s="1">
        <v>0</v>
      </c>
      <c r="O110" s="1">
        <v>0</v>
      </c>
      <c r="P110" s="89">
        <f t="shared" si="3"/>
        <v>450000</v>
      </c>
      <c r="Q110" s="91" t="s">
        <v>339</v>
      </c>
      <c r="R110" s="27"/>
      <c r="S110" s="26" t="s">
        <v>587</v>
      </c>
      <c r="T110" s="29" t="s">
        <v>325</v>
      </c>
      <c r="U110" s="31" t="s">
        <v>586</v>
      </c>
    </row>
    <row r="111" spans="1:21" ht="16.5" customHeight="1">
      <c r="A111" s="3" t="s">
        <v>113</v>
      </c>
      <c r="B111" s="87" t="s">
        <v>411</v>
      </c>
      <c r="C111" s="90">
        <v>1990</v>
      </c>
      <c r="D111" s="85" t="s">
        <v>99</v>
      </c>
      <c r="E111" s="2" t="s">
        <v>594</v>
      </c>
      <c r="F111" s="90">
        <v>2</v>
      </c>
      <c r="G111" s="90">
        <v>2</v>
      </c>
      <c r="H111" s="1">
        <v>1425</v>
      </c>
      <c r="I111" s="1">
        <v>994.7</v>
      </c>
      <c r="J111" s="89">
        <f>I111-11</f>
        <v>983.7</v>
      </c>
      <c r="K111" s="90">
        <v>37</v>
      </c>
      <c r="L111" s="89">
        <f>'Таблица 2, 3 виды ремонта'!C106</f>
        <v>700000</v>
      </c>
      <c r="M111" s="1">
        <v>0</v>
      </c>
      <c r="N111" s="1">
        <v>0</v>
      </c>
      <c r="O111" s="1">
        <v>0</v>
      </c>
      <c r="P111" s="89">
        <f t="shared" si="3"/>
        <v>700000</v>
      </c>
      <c r="Q111" s="91" t="s">
        <v>339</v>
      </c>
      <c r="R111" s="27"/>
      <c r="S111" s="26" t="s">
        <v>587</v>
      </c>
      <c r="T111" s="29" t="s">
        <v>318</v>
      </c>
      <c r="U111" s="33">
        <v>2016</v>
      </c>
    </row>
    <row r="112" spans="1:21" ht="16.5" customHeight="1">
      <c r="A112" s="3" t="s">
        <v>114</v>
      </c>
      <c r="B112" s="87" t="s">
        <v>413</v>
      </c>
      <c r="C112" s="97">
        <v>1910</v>
      </c>
      <c r="D112" s="85" t="s">
        <v>99</v>
      </c>
      <c r="E112" s="2" t="s">
        <v>594</v>
      </c>
      <c r="F112" s="90">
        <v>2</v>
      </c>
      <c r="G112" s="90">
        <v>1</v>
      </c>
      <c r="H112" s="88">
        <v>512.3</v>
      </c>
      <c r="I112" s="89">
        <v>189.74</v>
      </c>
      <c r="J112" s="89">
        <f>I112-50.3</f>
        <v>139.44</v>
      </c>
      <c r="K112" s="90">
        <v>12</v>
      </c>
      <c r="L112" s="89">
        <f>'Таблица 2, 3 виды ремонта'!C107</f>
        <v>300000</v>
      </c>
      <c r="M112" s="1">
        <v>0</v>
      </c>
      <c r="N112" s="1">
        <v>0</v>
      </c>
      <c r="O112" s="1">
        <v>0</v>
      </c>
      <c r="P112" s="89">
        <f t="shared" si="3"/>
        <v>300000</v>
      </c>
      <c r="Q112" s="91" t="s">
        <v>339</v>
      </c>
      <c r="R112" s="27"/>
      <c r="S112" s="26" t="s">
        <v>585</v>
      </c>
      <c r="T112" s="29" t="s">
        <v>332</v>
      </c>
      <c r="U112" s="31" t="s">
        <v>586</v>
      </c>
    </row>
    <row r="113" spans="1:21" ht="16.5" customHeight="1">
      <c r="A113" s="3" t="s">
        <v>115</v>
      </c>
      <c r="B113" s="87" t="s">
        <v>414</v>
      </c>
      <c r="C113" s="2">
        <v>1993</v>
      </c>
      <c r="D113" s="85" t="s">
        <v>99</v>
      </c>
      <c r="E113" s="2" t="s">
        <v>594</v>
      </c>
      <c r="F113" s="90">
        <v>5</v>
      </c>
      <c r="G113" s="90">
        <v>6</v>
      </c>
      <c r="H113" s="88">
        <v>4293.2</v>
      </c>
      <c r="I113" s="89">
        <v>2563.68</v>
      </c>
      <c r="J113" s="89">
        <f>I113-0</f>
        <v>2563.68</v>
      </c>
      <c r="K113" s="90">
        <v>197</v>
      </c>
      <c r="L113" s="89">
        <f>'Таблица 2, 3 виды ремонта'!C108</f>
        <v>2320500</v>
      </c>
      <c r="M113" s="1">
        <v>0</v>
      </c>
      <c r="N113" s="1">
        <v>0</v>
      </c>
      <c r="O113" s="1">
        <v>0</v>
      </c>
      <c r="P113" s="89">
        <f t="shared" si="3"/>
        <v>2320500</v>
      </c>
      <c r="Q113" s="91" t="s">
        <v>339</v>
      </c>
      <c r="R113" s="25"/>
      <c r="S113" s="26" t="s">
        <v>590</v>
      </c>
      <c r="T113" s="29" t="s">
        <v>318</v>
      </c>
      <c r="U113" s="31" t="s">
        <v>591</v>
      </c>
    </row>
    <row r="114" spans="1:21" ht="16.5" customHeight="1">
      <c r="A114" s="3" t="s">
        <v>116</v>
      </c>
      <c r="B114" s="87" t="s">
        <v>415</v>
      </c>
      <c r="C114" s="2">
        <v>1993</v>
      </c>
      <c r="D114" s="85" t="s">
        <v>99</v>
      </c>
      <c r="E114" s="2" t="s">
        <v>594</v>
      </c>
      <c r="F114" s="90">
        <v>9</v>
      </c>
      <c r="G114" s="90">
        <v>4</v>
      </c>
      <c r="H114" s="88">
        <v>9816</v>
      </c>
      <c r="I114" s="89">
        <v>7778.4</v>
      </c>
      <c r="J114" s="89">
        <f>I114-943.3</f>
        <v>6835.099999999999</v>
      </c>
      <c r="K114" s="90">
        <v>382</v>
      </c>
      <c r="L114" s="89">
        <f>'Таблица 2, 3 виды ремонта'!C109</f>
        <v>4300000</v>
      </c>
      <c r="M114" s="1">
        <v>0</v>
      </c>
      <c r="N114" s="1">
        <v>0</v>
      </c>
      <c r="O114" s="1">
        <v>0</v>
      </c>
      <c r="P114" s="89">
        <f t="shared" si="3"/>
        <v>4300000</v>
      </c>
      <c r="Q114" s="91" t="s">
        <v>339</v>
      </c>
      <c r="R114" s="25"/>
      <c r="S114" s="26" t="s">
        <v>589</v>
      </c>
      <c r="T114" s="29" t="s">
        <v>319</v>
      </c>
      <c r="U114" s="31" t="s">
        <v>586</v>
      </c>
    </row>
    <row r="115" spans="1:21" ht="16.5" customHeight="1">
      <c r="A115" s="3" t="s">
        <v>117</v>
      </c>
      <c r="B115" s="87" t="s">
        <v>580</v>
      </c>
      <c r="C115" s="90">
        <v>1961</v>
      </c>
      <c r="D115" s="85" t="s">
        <v>99</v>
      </c>
      <c r="E115" s="2" t="s">
        <v>594</v>
      </c>
      <c r="F115" s="90">
        <v>4</v>
      </c>
      <c r="G115" s="90">
        <v>3</v>
      </c>
      <c r="H115" s="89">
        <v>3497.16</v>
      </c>
      <c r="I115" s="89">
        <v>2001.85</v>
      </c>
      <c r="J115" s="89">
        <v>1278.6499999999999</v>
      </c>
      <c r="K115" s="92">
        <v>173</v>
      </c>
      <c r="L115" s="89">
        <f>'Таблица 2, 3 виды ремонта'!C110</f>
        <v>800000</v>
      </c>
      <c r="M115" s="1">
        <v>0</v>
      </c>
      <c r="N115" s="1">
        <v>0</v>
      </c>
      <c r="O115" s="1">
        <v>0</v>
      </c>
      <c r="P115" s="89">
        <f t="shared" si="3"/>
        <v>800000</v>
      </c>
      <c r="Q115" s="91" t="s">
        <v>339</v>
      </c>
      <c r="R115" s="27"/>
      <c r="S115" s="26" t="s">
        <v>587</v>
      </c>
      <c r="T115" s="29" t="s">
        <v>334</v>
      </c>
      <c r="U115" s="31" t="s">
        <v>586</v>
      </c>
    </row>
    <row r="116" spans="1:21" ht="16.5" customHeight="1">
      <c r="A116" s="3" t="s">
        <v>118</v>
      </c>
      <c r="B116" s="87" t="s">
        <v>581</v>
      </c>
      <c r="C116" s="90">
        <v>1960</v>
      </c>
      <c r="D116" s="85" t="s">
        <v>99</v>
      </c>
      <c r="E116" s="2" t="s">
        <v>594</v>
      </c>
      <c r="F116" s="90">
        <v>4</v>
      </c>
      <c r="G116" s="90">
        <v>3</v>
      </c>
      <c r="H116" s="89">
        <v>2224.45</v>
      </c>
      <c r="I116" s="89">
        <v>1927.65</v>
      </c>
      <c r="J116" s="89">
        <f>I116-296.8</f>
        <v>1630.8500000000001</v>
      </c>
      <c r="K116" s="92">
        <v>151</v>
      </c>
      <c r="L116" s="89">
        <f>'Таблица 2, 3 виды ремонта'!C111</f>
        <v>50000</v>
      </c>
      <c r="M116" s="1">
        <v>0</v>
      </c>
      <c r="N116" s="1">
        <v>0</v>
      </c>
      <c r="O116" s="1">
        <v>0</v>
      </c>
      <c r="P116" s="89">
        <f t="shared" si="3"/>
        <v>50000</v>
      </c>
      <c r="Q116" s="91" t="s">
        <v>339</v>
      </c>
      <c r="R116" s="27"/>
      <c r="S116" s="26" t="s">
        <v>587</v>
      </c>
      <c r="T116" s="29" t="s">
        <v>338</v>
      </c>
      <c r="U116" s="31" t="s">
        <v>586</v>
      </c>
    </row>
    <row r="117" spans="1:21" ht="16.5" customHeight="1">
      <c r="A117" s="3" t="s">
        <v>119</v>
      </c>
      <c r="B117" s="87" t="s">
        <v>416</v>
      </c>
      <c r="C117" s="2">
        <v>1959</v>
      </c>
      <c r="D117" s="85" t="s">
        <v>99</v>
      </c>
      <c r="E117" s="2" t="s">
        <v>594</v>
      </c>
      <c r="F117" s="90">
        <v>3</v>
      </c>
      <c r="G117" s="90">
        <v>2</v>
      </c>
      <c r="H117" s="88">
        <v>1234.31</v>
      </c>
      <c r="I117" s="89">
        <v>993.31</v>
      </c>
      <c r="J117" s="89">
        <f>I117-228.7</f>
        <v>764.6099999999999</v>
      </c>
      <c r="K117" s="90">
        <v>45</v>
      </c>
      <c r="L117" s="89">
        <f>'Таблица 2, 3 виды ремонта'!C112</f>
        <v>624640</v>
      </c>
      <c r="M117" s="1">
        <v>0</v>
      </c>
      <c r="N117" s="1">
        <v>0</v>
      </c>
      <c r="O117" s="1">
        <v>0</v>
      </c>
      <c r="P117" s="89">
        <f t="shared" si="3"/>
        <v>624640</v>
      </c>
      <c r="Q117" s="91" t="s">
        <v>339</v>
      </c>
      <c r="R117" s="27" t="s">
        <v>606</v>
      </c>
      <c r="S117" s="26" t="s">
        <v>590</v>
      </c>
      <c r="T117" s="29" t="s">
        <v>325</v>
      </c>
      <c r="U117" s="31" t="s">
        <v>586</v>
      </c>
    </row>
    <row r="118" spans="1:21" ht="16.5" customHeight="1">
      <c r="A118" s="3" t="s">
        <v>120</v>
      </c>
      <c r="B118" s="87" t="s">
        <v>417</v>
      </c>
      <c r="C118" s="2">
        <v>1961</v>
      </c>
      <c r="D118" s="85" t="s">
        <v>99</v>
      </c>
      <c r="E118" s="2" t="s">
        <v>594</v>
      </c>
      <c r="F118" s="90">
        <v>3</v>
      </c>
      <c r="G118" s="90">
        <v>2</v>
      </c>
      <c r="H118" s="88">
        <v>1308.5</v>
      </c>
      <c r="I118" s="89">
        <v>946.6</v>
      </c>
      <c r="J118" s="89">
        <f>I118-75</f>
        <v>871.6</v>
      </c>
      <c r="K118" s="90">
        <v>44</v>
      </c>
      <c r="L118" s="89">
        <f>'Таблица 2, 3 виды ремонта'!C113</f>
        <v>450000</v>
      </c>
      <c r="M118" s="1">
        <v>0</v>
      </c>
      <c r="N118" s="1">
        <v>0</v>
      </c>
      <c r="O118" s="1">
        <v>0</v>
      </c>
      <c r="P118" s="89">
        <f t="shared" si="3"/>
        <v>450000</v>
      </c>
      <c r="Q118" s="91" t="s">
        <v>339</v>
      </c>
      <c r="R118" s="27"/>
      <c r="S118" s="26" t="s">
        <v>590</v>
      </c>
      <c r="T118" s="29" t="s">
        <v>318</v>
      </c>
      <c r="U118" s="31" t="s">
        <v>586</v>
      </c>
    </row>
    <row r="119" spans="1:21" ht="16.5" customHeight="1">
      <c r="A119" s="3" t="s">
        <v>121</v>
      </c>
      <c r="B119" s="87" t="s">
        <v>418</v>
      </c>
      <c r="C119" s="2">
        <v>1966</v>
      </c>
      <c r="D119" s="85" t="s">
        <v>99</v>
      </c>
      <c r="E119" s="2" t="s">
        <v>594</v>
      </c>
      <c r="F119" s="2">
        <v>5</v>
      </c>
      <c r="G119" s="2">
        <v>4</v>
      </c>
      <c r="H119" s="88">
        <v>3399.4</v>
      </c>
      <c r="I119" s="88">
        <v>3198.4</v>
      </c>
      <c r="J119" s="88">
        <f>I119-G119</f>
        <v>3194.4</v>
      </c>
      <c r="K119" s="2">
        <v>172</v>
      </c>
      <c r="L119" s="89">
        <f>'Таблица 2, 3 виды ремонта'!C114</f>
        <v>350000</v>
      </c>
      <c r="M119" s="89">
        <v>0</v>
      </c>
      <c r="N119" s="89">
        <v>0</v>
      </c>
      <c r="O119" s="89">
        <v>0</v>
      </c>
      <c r="P119" s="89">
        <f t="shared" si="3"/>
        <v>350000</v>
      </c>
      <c r="Q119" s="2" t="s">
        <v>339</v>
      </c>
      <c r="R119" s="27" t="s">
        <v>606</v>
      </c>
      <c r="S119" s="28" t="s">
        <v>590</v>
      </c>
      <c r="T119" s="29" t="s">
        <v>599</v>
      </c>
      <c r="U119" s="30" t="s">
        <v>591</v>
      </c>
    </row>
    <row r="120" spans="1:21" ht="16.5" customHeight="1">
      <c r="A120" s="3" t="s">
        <v>122</v>
      </c>
      <c r="B120" s="87" t="s">
        <v>419</v>
      </c>
      <c r="C120" s="2">
        <v>1958</v>
      </c>
      <c r="D120" s="85" t="s">
        <v>99</v>
      </c>
      <c r="E120" s="2" t="s">
        <v>594</v>
      </c>
      <c r="F120" s="90">
        <v>4</v>
      </c>
      <c r="G120" s="90">
        <v>2</v>
      </c>
      <c r="H120" s="88">
        <v>1595.1</v>
      </c>
      <c r="I120" s="89">
        <v>841.8</v>
      </c>
      <c r="J120" s="89">
        <f>I120-0</f>
        <v>841.8</v>
      </c>
      <c r="K120" s="90">
        <v>67</v>
      </c>
      <c r="L120" s="89">
        <f>'Таблица 2, 3 виды ремонта'!C115</f>
        <v>350000</v>
      </c>
      <c r="M120" s="1">
        <v>0</v>
      </c>
      <c r="N120" s="1">
        <v>0</v>
      </c>
      <c r="O120" s="1">
        <v>0</v>
      </c>
      <c r="P120" s="89">
        <f t="shared" si="3"/>
        <v>350000</v>
      </c>
      <c r="Q120" s="91" t="s">
        <v>339</v>
      </c>
      <c r="R120" s="25"/>
      <c r="S120" s="26" t="s">
        <v>590</v>
      </c>
      <c r="T120" s="29" t="s">
        <v>331</v>
      </c>
      <c r="U120" s="31" t="s">
        <v>591</v>
      </c>
    </row>
    <row r="121" spans="1:21" ht="16.5" customHeight="1">
      <c r="A121" s="3" t="s">
        <v>123</v>
      </c>
      <c r="B121" s="87" t="s">
        <v>420</v>
      </c>
      <c r="C121" s="94">
        <v>1951</v>
      </c>
      <c r="D121" s="85" t="s">
        <v>99</v>
      </c>
      <c r="E121" s="2" t="s">
        <v>594</v>
      </c>
      <c r="F121" s="90">
        <v>3</v>
      </c>
      <c r="G121" s="90">
        <v>2</v>
      </c>
      <c r="H121" s="88">
        <v>1061.5</v>
      </c>
      <c r="I121" s="89">
        <v>1061.5</v>
      </c>
      <c r="J121" s="89">
        <f>I121-341.7</f>
        <v>719.8</v>
      </c>
      <c r="K121" s="90">
        <v>43</v>
      </c>
      <c r="L121" s="89">
        <f>'Таблица 2, 3 виды ремонта'!C116</f>
        <v>1553360</v>
      </c>
      <c r="M121" s="1">
        <v>0</v>
      </c>
      <c r="N121" s="1">
        <v>0</v>
      </c>
      <c r="O121" s="1">
        <v>0</v>
      </c>
      <c r="P121" s="89">
        <f t="shared" si="3"/>
        <v>1553360</v>
      </c>
      <c r="Q121" s="91" t="s">
        <v>339</v>
      </c>
      <c r="R121" s="27" t="s">
        <v>606</v>
      </c>
      <c r="S121" s="26" t="s">
        <v>590</v>
      </c>
      <c r="T121" s="29" t="s">
        <v>325</v>
      </c>
      <c r="U121" s="31" t="s">
        <v>586</v>
      </c>
    </row>
    <row r="122" spans="1:21" ht="16.5" customHeight="1">
      <c r="A122" s="3" t="s">
        <v>124</v>
      </c>
      <c r="B122" s="87" t="s">
        <v>430</v>
      </c>
      <c r="C122" s="2">
        <v>1963</v>
      </c>
      <c r="D122" s="85" t="s">
        <v>99</v>
      </c>
      <c r="E122" s="2" t="s">
        <v>594</v>
      </c>
      <c r="F122" s="90">
        <v>5</v>
      </c>
      <c r="G122" s="90">
        <v>2</v>
      </c>
      <c r="H122" s="88">
        <v>1860.2</v>
      </c>
      <c r="I122" s="89">
        <v>1544.1</v>
      </c>
      <c r="J122" s="89">
        <f>I122-199.9</f>
        <v>1344.1999999999998</v>
      </c>
      <c r="K122" s="90">
        <v>75</v>
      </c>
      <c r="L122" s="89">
        <f>'Таблица 2, 3 виды ремонта'!C117</f>
        <v>503200</v>
      </c>
      <c r="M122" s="1">
        <v>0</v>
      </c>
      <c r="N122" s="1">
        <v>0</v>
      </c>
      <c r="O122" s="1">
        <v>0</v>
      </c>
      <c r="P122" s="89">
        <f t="shared" si="3"/>
        <v>503200</v>
      </c>
      <c r="Q122" s="91" t="s">
        <v>339</v>
      </c>
      <c r="R122" s="34"/>
      <c r="S122" s="35" t="s">
        <v>589</v>
      </c>
      <c r="T122" s="29" t="s">
        <v>318</v>
      </c>
      <c r="U122" s="31" t="s">
        <v>586</v>
      </c>
    </row>
    <row r="123" spans="1:21" ht="16.5" customHeight="1">
      <c r="A123" s="3" t="s">
        <v>125</v>
      </c>
      <c r="B123" s="87" t="s">
        <v>431</v>
      </c>
      <c r="C123" s="2">
        <v>1985</v>
      </c>
      <c r="D123" s="85" t="s">
        <v>99</v>
      </c>
      <c r="E123" s="2" t="s">
        <v>594</v>
      </c>
      <c r="F123" s="90">
        <v>9</v>
      </c>
      <c r="G123" s="90">
        <v>1</v>
      </c>
      <c r="H123" s="88">
        <v>3645</v>
      </c>
      <c r="I123" s="89">
        <v>2865.3</v>
      </c>
      <c r="J123" s="89">
        <f>I123-435.7</f>
        <v>2429.6000000000004</v>
      </c>
      <c r="K123" s="90">
        <v>127</v>
      </c>
      <c r="L123" s="89">
        <f>'Таблица 2, 3 виды ремонта'!C118</f>
        <v>1420000</v>
      </c>
      <c r="M123" s="1">
        <v>0</v>
      </c>
      <c r="N123" s="1">
        <v>0</v>
      </c>
      <c r="O123" s="1">
        <v>0</v>
      </c>
      <c r="P123" s="89">
        <f t="shared" si="3"/>
        <v>1420000</v>
      </c>
      <c r="Q123" s="91" t="s">
        <v>339</v>
      </c>
      <c r="R123" s="34"/>
      <c r="S123" s="35" t="s">
        <v>589</v>
      </c>
      <c r="T123" s="29" t="s">
        <v>319</v>
      </c>
      <c r="U123" s="31" t="s">
        <v>586</v>
      </c>
    </row>
    <row r="124" spans="1:21" ht="16.5" customHeight="1">
      <c r="A124" s="3" t="s">
        <v>126</v>
      </c>
      <c r="B124" s="87" t="s">
        <v>432</v>
      </c>
      <c r="C124" s="2">
        <v>1970</v>
      </c>
      <c r="D124" s="85" t="s">
        <v>99</v>
      </c>
      <c r="E124" s="2" t="s">
        <v>595</v>
      </c>
      <c r="F124" s="90">
        <v>5</v>
      </c>
      <c r="G124" s="90">
        <v>4</v>
      </c>
      <c r="H124" s="88">
        <v>4583.6</v>
      </c>
      <c r="I124" s="89">
        <v>3598.6</v>
      </c>
      <c r="J124" s="89">
        <f>I124-209.6</f>
        <v>3389</v>
      </c>
      <c r="K124" s="90">
        <v>159</v>
      </c>
      <c r="L124" s="89">
        <f>'Таблица 2, 3 виды ремонта'!C119</f>
        <v>1084200</v>
      </c>
      <c r="M124" s="1">
        <v>0</v>
      </c>
      <c r="N124" s="1">
        <v>0</v>
      </c>
      <c r="O124" s="1">
        <v>0</v>
      </c>
      <c r="P124" s="89">
        <f t="shared" si="3"/>
        <v>1084200</v>
      </c>
      <c r="Q124" s="91" t="s">
        <v>339</v>
      </c>
      <c r="R124" s="34"/>
      <c r="S124" s="35" t="s">
        <v>589</v>
      </c>
      <c r="T124" s="29" t="s">
        <v>318</v>
      </c>
      <c r="U124" s="31" t="s">
        <v>586</v>
      </c>
    </row>
    <row r="125" spans="1:21" ht="16.5" customHeight="1">
      <c r="A125" s="3" t="s">
        <v>127</v>
      </c>
      <c r="B125" s="87" t="s">
        <v>433</v>
      </c>
      <c r="C125" s="2">
        <v>1983</v>
      </c>
      <c r="D125" s="85" t="s">
        <v>99</v>
      </c>
      <c r="E125" s="2" t="s">
        <v>594</v>
      </c>
      <c r="F125" s="85">
        <v>9</v>
      </c>
      <c r="G125" s="85">
        <v>4</v>
      </c>
      <c r="H125" s="88">
        <v>8553</v>
      </c>
      <c r="I125" s="89">
        <v>7490.64</v>
      </c>
      <c r="J125" s="1">
        <f>I125-1085.8</f>
        <v>6404.84</v>
      </c>
      <c r="K125" s="90">
        <v>369</v>
      </c>
      <c r="L125" s="89">
        <f>'Таблица 2, 3 виды ремонта'!C120</f>
        <v>3030000</v>
      </c>
      <c r="M125" s="1">
        <v>0</v>
      </c>
      <c r="N125" s="1">
        <v>0</v>
      </c>
      <c r="O125" s="1">
        <v>0</v>
      </c>
      <c r="P125" s="89">
        <f t="shared" si="3"/>
        <v>3030000</v>
      </c>
      <c r="Q125" s="91" t="s">
        <v>339</v>
      </c>
      <c r="R125" s="34"/>
      <c r="S125" s="35" t="s">
        <v>587</v>
      </c>
      <c r="T125" s="29" t="s">
        <v>319</v>
      </c>
      <c r="U125" s="31" t="s">
        <v>586</v>
      </c>
    </row>
    <row r="126" spans="1:21" ht="16.5" customHeight="1">
      <c r="A126" s="3" t="s">
        <v>128</v>
      </c>
      <c r="B126" s="87" t="s">
        <v>434</v>
      </c>
      <c r="C126" s="2" t="s">
        <v>311</v>
      </c>
      <c r="D126" s="85" t="s">
        <v>99</v>
      </c>
      <c r="E126" s="2" t="s">
        <v>594</v>
      </c>
      <c r="F126" s="90">
        <v>5</v>
      </c>
      <c r="G126" s="90">
        <v>3</v>
      </c>
      <c r="H126" s="88">
        <v>2675.5</v>
      </c>
      <c r="I126" s="89">
        <v>1988.85</v>
      </c>
      <c r="J126" s="89">
        <f>I126-155.9</f>
        <v>1832.9499999999998</v>
      </c>
      <c r="K126" s="90">
        <v>108</v>
      </c>
      <c r="L126" s="89">
        <f>'Таблица 2, 3 виды ремонта'!C121</f>
        <v>800000</v>
      </c>
      <c r="M126" s="1">
        <v>0</v>
      </c>
      <c r="N126" s="1">
        <v>0</v>
      </c>
      <c r="O126" s="1">
        <v>0</v>
      </c>
      <c r="P126" s="89">
        <f t="shared" si="3"/>
        <v>800000</v>
      </c>
      <c r="Q126" s="91" t="s">
        <v>339</v>
      </c>
      <c r="R126" s="34"/>
      <c r="S126" s="36" t="s">
        <v>587</v>
      </c>
      <c r="T126" s="29" t="s">
        <v>334</v>
      </c>
      <c r="U126" s="31" t="s">
        <v>586</v>
      </c>
    </row>
    <row r="127" spans="1:21" ht="16.5" customHeight="1">
      <c r="A127" s="3" t="s">
        <v>129</v>
      </c>
      <c r="B127" s="87" t="s">
        <v>421</v>
      </c>
      <c r="C127" s="2">
        <v>1965</v>
      </c>
      <c r="D127" s="85" t="s">
        <v>99</v>
      </c>
      <c r="E127" s="2" t="s">
        <v>595</v>
      </c>
      <c r="F127" s="90">
        <v>5</v>
      </c>
      <c r="G127" s="90">
        <v>4</v>
      </c>
      <c r="H127" s="88">
        <v>5517.9</v>
      </c>
      <c r="I127" s="89">
        <v>3556.13</v>
      </c>
      <c r="J127" s="89">
        <f>I127-523.6</f>
        <v>3032.53</v>
      </c>
      <c r="K127" s="90">
        <v>176</v>
      </c>
      <c r="L127" s="89">
        <f>'Таблица 2, 3 виды ремонта'!C122</f>
        <v>1532481</v>
      </c>
      <c r="M127" s="1">
        <v>0</v>
      </c>
      <c r="N127" s="1">
        <v>0</v>
      </c>
      <c r="O127" s="1">
        <v>0</v>
      </c>
      <c r="P127" s="89">
        <f t="shared" si="3"/>
        <v>1532481</v>
      </c>
      <c r="Q127" s="91" t="s">
        <v>339</v>
      </c>
      <c r="R127" s="34"/>
      <c r="S127" s="37" t="s">
        <v>585</v>
      </c>
      <c r="T127" s="29" t="s">
        <v>318</v>
      </c>
      <c r="U127" s="30" t="s">
        <v>586</v>
      </c>
    </row>
    <row r="128" spans="1:21" ht="16.5" customHeight="1">
      <c r="A128" s="3" t="s">
        <v>130</v>
      </c>
      <c r="B128" s="87" t="s">
        <v>560</v>
      </c>
      <c r="C128" s="90">
        <v>1965</v>
      </c>
      <c r="D128" s="85" t="s">
        <v>99</v>
      </c>
      <c r="E128" s="2" t="s">
        <v>595</v>
      </c>
      <c r="F128" s="90">
        <v>5</v>
      </c>
      <c r="G128" s="90">
        <v>4</v>
      </c>
      <c r="H128" s="89">
        <v>4806</v>
      </c>
      <c r="I128" s="89">
        <v>3588.08</v>
      </c>
      <c r="J128" s="89">
        <f>I128-896.5</f>
        <v>2691.58</v>
      </c>
      <c r="K128" s="92">
        <v>186</v>
      </c>
      <c r="L128" s="89">
        <f>'Таблица 2, 3 виды ремонта'!C123</f>
        <v>2478621</v>
      </c>
      <c r="M128" s="1">
        <v>0</v>
      </c>
      <c r="N128" s="1">
        <v>0</v>
      </c>
      <c r="O128" s="1">
        <v>0</v>
      </c>
      <c r="P128" s="89">
        <f t="shared" si="3"/>
        <v>2478621</v>
      </c>
      <c r="Q128" s="91" t="s">
        <v>339</v>
      </c>
      <c r="R128" s="38"/>
      <c r="S128" s="35" t="s">
        <v>585</v>
      </c>
      <c r="T128" s="29" t="s">
        <v>326</v>
      </c>
      <c r="U128" s="31" t="s">
        <v>586</v>
      </c>
    </row>
    <row r="129" spans="1:21" ht="16.5" customHeight="1">
      <c r="A129" s="3" t="s">
        <v>131</v>
      </c>
      <c r="B129" s="87" t="s">
        <v>422</v>
      </c>
      <c r="C129" s="101">
        <v>1961</v>
      </c>
      <c r="D129" s="85" t="s">
        <v>99</v>
      </c>
      <c r="E129" s="2" t="s">
        <v>594</v>
      </c>
      <c r="F129" s="90">
        <v>5</v>
      </c>
      <c r="G129" s="90">
        <v>2</v>
      </c>
      <c r="H129" s="88">
        <v>3428</v>
      </c>
      <c r="I129" s="89">
        <v>1338.44</v>
      </c>
      <c r="J129" s="89">
        <f>I129-0</f>
        <v>1338.44</v>
      </c>
      <c r="K129" s="90">
        <v>74</v>
      </c>
      <c r="L129" s="89">
        <f>'Таблица 2, 3 виды ремонта'!C124</f>
        <v>800000</v>
      </c>
      <c r="M129" s="1">
        <v>0</v>
      </c>
      <c r="N129" s="1">
        <v>0</v>
      </c>
      <c r="O129" s="1">
        <v>0</v>
      </c>
      <c r="P129" s="89">
        <f t="shared" si="3"/>
        <v>800000</v>
      </c>
      <c r="Q129" s="91" t="s">
        <v>339</v>
      </c>
      <c r="R129" s="34"/>
      <c r="S129" s="35" t="s">
        <v>585</v>
      </c>
      <c r="T129" s="29" t="s">
        <v>326</v>
      </c>
      <c r="U129" s="31" t="s">
        <v>586</v>
      </c>
    </row>
    <row r="130" spans="1:21" ht="16.5" customHeight="1">
      <c r="A130" s="3" t="s">
        <v>132</v>
      </c>
      <c r="B130" s="102" t="s">
        <v>423</v>
      </c>
      <c r="C130" s="96">
        <v>1961</v>
      </c>
      <c r="D130" s="85" t="s">
        <v>99</v>
      </c>
      <c r="E130" s="2" t="s">
        <v>594</v>
      </c>
      <c r="F130" s="90">
        <v>5</v>
      </c>
      <c r="G130" s="90">
        <v>2</v>
      </c>
      <c r="H130" s="89">
        <v>1782.5</v>
      </c>
      <c r="I130" s="103">
        <v>1379</v>
      </c>
      <c r="J130" s="89">
        <f>I130-287.5</f>
        <v>1091.5</v>
      </c>
      <c r="K130" s="104">
        <v>78</v>
      </c>
      <c r="L130" s="89">
        <f>'Таблица 2, 3 виды ремонта'!C125</f>
        <v>800000</v>
      </c>
      <c r="M130" s="1">
        <v>0</v>
      </c>
      <c r="N130" s="1">
        <v>0</v>
      </c>
      <c r="O130" s="1">
        <v>0</v>
      </c>
      <c r="P130" s="89">
        <f t="shared" si="3"/>
        <v>800000</v>
      </c>
      <c r="Q130" s="91" t="s">
        <v>339</v>
      </c>
      <c r="R130" s="34"/>
      <c r="S130" s="37" t="s">
        <v>592</v>
      </c>
      <c r="T130" s="29" t="s">
        <v>333</v>
      </c>
      <c r="U130" s="30" t="s">
        <v>586</v>
      </c>
    </row>
    <row r="131" spans="1:21" ht="16.5" customHeight="1">
      <c r="A131" s="3" t="s">
        <v>133</v>
      </c>
      <c r="B131" s="87" t="s">
        <v>424</v>
      </c>
      <c r="C131" s="97">
        <v>1966</v>
      </c>
      <c r="D131" s="85" t="s">
        <v>99</v>
      </c>
      <c r="E131" s="2" t="s">
        <v>594</v>
      </c>
      <c r="F131" s="90">
        <v>5</v>
      </c>
      <c r="G131" s="90">
        <v>4</v>
      </c>
      <c r="H131" s="88">
        <v>4148</v>
      </c>
      <c r="I131" s="89">
        <v>3205</v>
      </c>
      <c r="J131" s="89">
        <f>I131-103.3</f>
        <v>3101.7</v>
      </c>
      <c r="K131" s="90">
        <v>148</v>
      </c>
      <c r="L131" s="89">
        <f>'Таблица 2, 3 виды ремонта'!C126</f>
        <v>800000</v>
      </c>
      <c r="M131" s="1">
        <v>0</v>
      </c>
      <c r="N131" s="1">
        <v>0</v>
      </c>
      <c r="O131" s="1">
        <v>0</v>
      </c>
      <c r="P131" s="89">
        <f t="shared" si="3"/>
        <v>800000</v>
      </c>
      <c r="Q131" s="91" t="s">
        <v>339</v>
      </c>
      <c r="R131" s="38" t="s">
        <v>606</v>
      </c>
      <c r="S131" s="37" t="s">
        <v>592</v>
      </c>
      <c r="T131" s="29" t="s">
        <v>332</v>
      </c>
      <c r="U131" s="30" t="s">
        <v>586</v>
      </c>
    </row>
    <row r="132" spans="1:21" ht="16.5" customHeight="1">
      <c r="A132" s="3" t="s">
        <v>134</v>
      </c>
      <c r="B132" s="87" t="s">
        <v>425</v>
      </c>
      <c r="C132" s="97" t="s">
        <v>108</v>
      </c>
      <c r="D132" s="85" t="s">
        <v>99</v>
      </c>
      <c r="E132" s="2" t="s">
        <v>594</v>
      </c>
      <c r="F132" s="90">
        <v>2</v>
      </c>
      <c r="G132" s="90">
        <v>1</v>
      </c>
      <c r="H132" s="88">
        <v>553.5</v>
      </c>
      <c r="I132" s="89">
        <v>457.59</v>
      </c>
      <c r="J132" s="89">
        <f>I132-0</f>
        <v>457.59</v>
      </c>
      <c r="K132" s="90">
        <v>13</v>
      </c>
      <c r="L132" s="89">
        <f>'Таблица 2, 3 виды ремонта'!C127</f>
        <v>1050000</v>
      </c>
      <c r="M132" s="1">
        <v>0</v>
      </c>
      <c r="N132" s="1">
        <v>0</v>
      </c>
      <c r="O132" s="1">
        <v>0</v>
      </c>
      <c r="P132" s="89">
        <f aca="true" t="shared" si="4" ref="P132:P152">L132</f>
        <v>1050000</v>
      </c>
      <c r="Q132" s="91" t="s">
        <v>339</v>
      </c>
      <c r="R132" s="38"/>
      <c r="S132" s="35" t="s">
        <v>589</v>
      </c>
      <c r="T132" s="29" t="s">
        <v>319</v>
      </c>
      <c r="U132" s="31" t="s">
        <v>586</v>
      </c>
    </row>
    <row r="133" spans="1:21" ht="16.5" customHeight="1">
      <c r="A133" s="3" t="s">
        <v>135</v>
      </c>
      <c r="B133" s="87" t="s">
        <v>412</v>
      </c>
      <c r="C133" s="2">
        <v>1973</v>
      </c>
      <c r="D133" s="85" t="s">
        <v>99</v>
      </c>
      <c r="E133" s="2" t="s">
        <v>594</v>
      </c>
      <c r="F133" s="90">
        <v>5</v>
      </c>
      <c r="G133" s="90">
        <v>8</v>
      </c>
      <c r="H133" s="88">
        <v>8042.05</v>
      </c>
      <c r="I133" s="89">
        <v>5990.65</v>
      </c>
      <c r="J133" s="89">
        <f>I133-698.2</f>
        <v>5292.45</v>
      </c>
      <c r="K133" s="90">
        <v>291</v>
      </c>
      <c r="L133" s="89">
        <f>'Таблица 2, 3 виды ремонта'!C128</f>
        <v>3138054</v>
      </c>
      <c r="M133" s="1">
        <v>0</v>
      </c>
      <c r="N133" s="1">
        <v>0</v>
      </c>
      <c r="O133" s="1">
        <v>0</v>
      </c>
      <c r="P133" s="89">
        <f t="shared" si="4"/>
        <v>3138054</v>
      </c>
      <c r="Q133" s="91" t="s">
        <v>339</v>
      </c>
      <c r="R133" s="34"/>
      <c r="S133" s="35" t="s">
        <v>587</v>
      </c>
      <c r="T133" s="29" t="s">
        <v>322</v>
      </c>
      <c r="U133" s="31" t="s">
        <v>586</v>
      </c>
    </row>
    <row r="134" spans="1:21" ht="16.5" customHeight="1">
      <c r="A134" s="3" t="s">
        <v>136</v>
      </c>
      <c r="B134" s="87" t="s">
        <v>426</v>
      </c>
      <c r="C134" s="95">
        <v>1957</v>
      </c>
      <c r="D134" s="85" t="s">
        <v>99</v>
      </c>
      <c r="E134" s="2" t="s">
        <v>594</v>
      </c>
      <c r="F134" s="90">
        <v>2</v>
      </c>
      <c r="G134" s="90">
        <v>2</v>
      </c>
      <c r="H134" s="88">
        <v>1269.9</v>
      </c>
      <c r="I134" s="89">
        <v>496</v>
      </c>
      <c r="J134" s="89">
        <f>I134-0</f>
        <v>496</v>
      </c>
      <c r="K134" s="90">
        <v>36</v>
      </c>
      <c r="L134" s="89">
        <f>'Таблица 2, 3 виды ремонта'!C129</f>
        <v>244000</v>
      </c>
      <c r="M134" s="1">
        <v>0</v>
      </c>
      <c r="N134" s="1">
        <v>0</v>
      </c>
      <c r="O134" s="1">
        <v>0</v>
      </c>
      <c r="P134" s="89">
        <f t="shared" si="4"/>
        <v>244000</v>
      </c>
      <c r="Q134" s="91" t="s">
        <v>339</v>
      </c>
      <c r="R134" s="34"/>
      <c r="S134" s="26" t="s">
        <v>589</v>
      </c>
      <c r="T134" s="29" t="s">
        <v>319</v>
      </c>
      <c r="U134" s="31" t="s">
        <v>586</v>
      </c>
    </row>
    <row r="135" spans="1:21" ht="16.5" customHeight="1">
      <c r="A135" s="3" t="s">
        <v>137</v>
      </c>
      <c r="B135" s="87" t="s">
        <v>427</v>
      </c>
      <c r="C135" s="95">
        <v>1962</v>
      </c>
      <c r="D135" s="85" t="s">
        <v>99</v>
      </c>
      <c r="E135" s="2" t="s">
        <v>594</v>
      </c>
      <c r="F135" s="90">
        <v>4</v>
      </c>
      <c r="G135" s="90">
        <v>3</v>
      </c>
      <c r="H135" s="88">
        <v>2693.1</v>
      </c>
      <c r="I135" s="89">
        <v>1676.3</v>
      </c>
      <c r="J135" s="89">
        <f>I135-0</f>
        <v>1676.3</v>
      </c>
      <c r="K135" s="90">
        <v>141</v>
      </c>
      <c r="L135" s="89">
        <f>'Таблица 2, 3 виды ремонта'!C130</f>
        <v>349600</v>
      </c>
      <c r="M135" s="1">
        <v>0</v>
      </c>
      <c r="N135" s="1">
        <v>0</v>
      </c>
      <c r="O135" s="1">
        <v>0</v>
      </c>
      <c r="P135" s="89">
        <f t="shared" si="4"/>
        <v>349600</v>
      </c>
      <c r="Q135" s="91" t="s">
        <v>339</v>
      </c>
      <c r="R135" s="27"/>
      <c r="S135" s="26" t="s">
        <v>589</v>
      </c>
      <c r="T135" s="29" t="s">
        <v>333</v>
      </c>
      <c r="U135" s="31" t="s">
        <v>586</v>
      </c>
    </row>
    <row r="136" spans="1:21" ht="16.5" customHeight="1">
      <c r="A136" s="3" t="s">
        <v>138</v>
      </c>
      <c r="B136" s="87" t="s">
        <v>456</v>
      </c>
      <c r="C136" s="2">
        <v>1917</v>
      </c>
      <c r="D136" s="85" t="s">
        <v>99</v>
      </c>
      <c r="E136" s="2" t="s">
        <v>594</v>
      </c>
      <c r="F136" s="90">
        <v>2</v>
      </c>
      <c r="G136" s="90">
        <v>1</v>
      </c>
      <c r="H136" s="88">
        <v>1351.11</v>
      </c>
      <c r="I136" s="89">
        <v>889.11</v>
      </c>
      <c r="J136" s="89">
        <f>I136-0</f>
        <v>889.11</v>
      </c>
      <c r="K136" s="90">
        <v>43</v>
      </c>
      <c r="L136" s="89">
        <f>'Таблица 2, 3 виды ремонта'!C131</f>
        <v>400000</v>
      </c>
      <c r="M136" s="1">
        <v>0</v>
      </c>
      <c r="N136" s="1">
        <v>0</v>
      </c>
      <c r="O136" s="1">
        <v>0</v>
      </c>
      <c r="P136" s="89">
        <f t="shared" si="4"/>
        <v>400000</v>
      </c>
      <c r="Q136" s="91" t="s">
        <v>339</v>
      </c>
      <c r="R136" s="27" t="s">
        <v>606</v>
      </c>
      <c r="S136" s="28" t="s">
        <v>588</v>
      </c>
      <c r="T136" s="29" t="s">
        <v>318</v>
      </c>
      <c r="U136" s="30" t="s">
        <v>586</v>
      </c>
    </row>
    <row r="137" spans="1:21" ht="16.5" customHeight="1">
      <c r="A137" s="3" t="s">
        <v>139</v>
      </c>
      <c r="B137" s="87" t="s">
        <v>457</v>
      </c>
      <c r="C137" s="2">
        <v>1917</v>
      </c>
      <c r="D137" s="85" t="s">
        <v>99</v>
      </c>
      <c r="E137" s="90" t="s">
        <v>340</v>
      </c>
      <c r="F137" s="90">
        <v>2</v>
      </c>
      <c r="G137" s="90">
        <v>1</v>
      </c>
      <c r="H137" s="88">
        <v>637.62</v>
      </c>
      <c r="I137" s="89">
        <v>393.42</v>
      </c>
      <c r="J137" s="89">
        <f>I137-40.6</f>
        <v>352.82</v>
      </c>
      <c r="K137" s="90">
        <v>18</v>
      </c>
      <c r="L137" s="89">
        <f>'Таблица 2, 3 виды ремонта'!C132</f>
        <v>300000</v>
      </c>
      <c r="M137" s="1">
        <v>0</v>
      </c>
      <c r="N137" s="1">
        <v>0</v>
      </c>
      <c r="O137" s="1">
        <v>0</v>
      </c>
      <c r="P137" s="89">
        <f t="shared" si="4"/>
        <v>300000</v>
      </c>
      <c r="Q137" s="91" t="s">
        <v>339</v>
      </c>
      <c r="R137" s="25"/>
      <c r="S137" s="28" t="s">
        <v>588</v>
      </c>
      <c r="T137" s="29" t="s">
        <v>318</v>
      </c>
      <c r="U137" s="30" t="s">
        <v>586</v>
      </c>
    </row>
    <row r="138" spans="1:21" ht="16.5" customHeight="1">
      <c r="A138" s="3" t="s">
        <v>140</v>
      </c>
      <c r="B138" s="87" t="s">
        <v>428</v>
      </c>
      <c r="C138" s="2">
        <v>1965</v>
      </c>
      <c r="D138" s="85" t="s">
        <v>99</v>
      </c>
      <c r="E138" s="2" t="s">
        <v>594</v>
      </c>
      <c r="F138" s="85">
        <v>5</v>
      </c>
      <c r="G138" s="85">
        <v>3</v>
      </c>
      <c r="H138" s="88">
        <v>4075</v>
      </c>
      <c r="I138" s="89">
        <v>2384.5</v>
      </c>
      <c r="J138" s="1">
        <f>I138-480.1</f>
        <v>1904.4</v>
      </c>
      <c r="K138" s="90">
        <v>179</v>
      </c>
      <c r="L138" s="89">
        <f>'Таблица 2, 3 виды ремонта'!C133</f>
        <v>1000000</v>
      </c>
      <c r="M138" s="1">
        <v>0</v>
      </c>
      <c r="N138" s="1">
        <v>0</v>
      </c>
      <c r="O138" s="1">
        <v>0</v>
      </c>
      <c r="P138" s="89">
        <f t="shared" si="4"/>
        <v>1000000</v>
      </c>
      <c r="Q138" s="91" t="s">
        <v>339</v>
      </c>
      <c r="R138" s="27" t="s">
        <v>606</v>
      </c>
      <c r="S138" s="28" t="s">
        <v>587</v>
      </c>
      <c r="T138" s="29" t="s">
        <v>318</v>
      </c>
      <c r="U138" s="30" t="s">
        <v>591</v>
      </c>
    </row>
    <row r="139" spans="1:21" ht="16.5" customHeight="1">
      <c r="A139" s="3" t="s">
        <v>141</v>
      </c>
      <c r="B139" s="87" t="s">
        <v>429</v>
      </c>
      <c r="C139" s="2">
        <v>1950</v>
      </c>
      <c r="D139" s="85" t="s">
        <v>99</v>
      </c>
      <c r="E139" s="2" t="s">
        <v>594</v>
      </c>
      <c r="F139" s="85">
        <v>2</v>
      </c>
      <c r="G139" s="85">
        <v>1</v>
      </c>
      <c r="H139" s="88">
        <v>442.7</v>
      </c>
      <c r="I139" s="89">
        <v>442.7</v>
      </c>
      <c r="J139" s="1">
        <f>I139-0</f>
        <v>442.7</v>
      </c>
      <c r="K139" s="90">
        <v>21</v>
      </c>
      <c r="L139" s="89">
        <f>'Таблица 2, 3 виды ремонта'!C134</f>
        <v>650000</v>
      </c>
      <c r="M139" s="1">
        <v>0</v>
      </c>
      <c r="N139" s="1">
        <v>0</v>
      </c>
      <c r="O139" s="1">
        <v>0</v>
      </c>
      <c r="P139" s="89">
        <f t="shared" si="4"/>
        <v>650000</v>
      </c>
      <c r="Q139" s="91" t="s">
        <v>339</v>
      </c>
      <c r="R139" s="25"/>
      <c r="S139" s="28" t="s">
        <v>592</v>
      </c>
      <c r="T139" s="29" t="s">
        <v>319</v>
      </c>
      <c r="U139" s="30" t="s">
        <v>591</v>
      </c>
    </row>
    <row r="140" spans="1:21" ht="16.5" customHeight="1">
      <c r="A140" s="3" t="s">
        <v>142</v>
      </c>
      <c r="B140" s="87" t="s">
        <v>435</v>
      </c>
      <c r="C140" s="2">
        <v>1965</v>
      </c>
      <c r="D140" s="85" t="s">
        <v>99</v>
      </c>
      <c r="E140" s="2" t="s">
        <v>594</v>
      </c>
      <c r="F140" s="90">
        <v>5</v>
      </c>
      <c r="G140" s="90">
        <v>4</v>
      </c>
      <c r="H140" s="88">
        <v>3907.9</v>
      </c>
      <c r="I140" s="89">
        <v>2043.9</v>
      </c>
      <c r="J140" s="89">
        <f>I140-0</f>
        <v>2043.9</v>
      </c>
      <c r="K140" s="90">
        <v>130</v>
      </c>
      <c r="L140" s="89">
        <f>'Таблица 2, 3 виды ремонта'!C135</f>
        <v>1479844</v>
      </c>
      <c r="M140" s="1">
        <v>0</v>
      </c>
      <c r="N140" s="1">
        <v>0</v>
      </c>
      <c r="O140" s="1">
        <v>0</v>
      </c>
      <c r="P140" s="89">
        <f t="shared" si="4"/>
        <v>1479844</v>
      </c>
      <c r="Q140" s="91" t="s">
        <v>339</v>
      </c>
      <c r="R140" s="27"/>
      <c r="S140" s="26" t="s">
        <v>590</v>
      </c>
      <c r="T140" s="29" t="s">
        <v>319</v>
      </c>
      <c r="U140" s="31" t="s">
        <v>591</v>
      </c>
    </row>
    <row r="141" spans="1:21" ht="16.5" customHeight="1">
      <c r="A141" s="3" t="s">
        <v>143</v>
      </c>
      <c r="B141" s="87" t="s">
        <v>436</v>
      </c>
      <c r="C141" s="2">
        <v>1978</v>
      </c>
      <c r="D141" s="85" t="s">
        <v>99</v>
      </c>
      <c r="E141" s="2" t="s">
        <v>594</v>
      </c>
      <c r="F141" s="90">
        <v>9</v>
      </c>
      <c r="G141" s="90">
        <v>3</v>
      </c>
      <c r="H141" s="88">
        <v>7114.8</v>
      </c>
      <c r="I141" s="89">
        <v>4591.9</v>
      </c>
      <c r="J141" s="89">
        <f>I141-0</f>
        <v>4591.9</v>
      </c>
      <c r="K141" s="90">
        <v>309</v>
      </c>
      <c r="L141" s="89">
        <f>'Таблица 2, 3 виды ремонта'!C136</f>
        <v>1200000</v>
      </c>
      <c r="M141" s="1">
        <v>0</v>
      </c>
      <c r="N141" s="1">
        <v>0</v>
      </c>
      <c r="O141" s="1">
        <v>0</v>
      </c>
      <c r="P141" s="89">
        <f t="shared" si="4"/>
        <v>1200000</v>
      </c>
      <c r="Q141" s="91" t="s">
        <v>339</v>
      </c>
      <c r="R141" s="27"/>
      <c r="S141" s="26" t="s">
        <v>588</v>
      </c>
      <c r="T141" s="29" t="s">
        <v>327</v>
      </c>
      <c r="U141" s="31" t="s">
        <v>591</v>
      </c>
    </row>
    <row r="142" spans="1:21" ht="16.5" customHeight="1">
      <c r="A142" s="3" t="s">
        <v>144</v>
      </c>
      <c r="B142" s="87" t="s">
        <v>437</v>
      </c>
      <c r="C142" s="97">
        <v>1969</v>
      </c>
      <c r="D142" s="85" t="s">
        <v>99</v>
      </c>
      <c r="E142" s="2" t="s">
        <v>594</v>
      </c>
      <c r="F142" s="90">
        <v>9</v>
      </c>
      <c r="G142" s="90">
        <v>1</v>
      </c>
      <c r="H142" s="88">
        <v>2332.14</v>
      </c>
      <c r="I142" s="89">
        <v>2332.14</v>
      </c>
      <c r="J142" s="89">
        <f>I142-0</f>
        <v>2332.14</v>
      </c>
      <c r="K142" s="90">
        <v>56</v>
      </c>
      <c r="L142" s="89">
        <f>'Таблица 2, 3 виды ремонта'!C137</f>
        <v>215012</v>
      </c>
      <c r="M142" s="1">
        <v>0</v>
      </c>
      <c r="N142" s="1">
        <v>0</v>
      </c>
      <c r="O142" s="1">
        <v>0</v>
      </c>
      <c r="P142" s="89">
        <f t="shared" si="4"/>
        <v>215012</v>
      </c>
      <c r="Q142" s="91" t="s">
        <v>339</v>
      </c>
      <c r="R142" s="27"/>
      <c r="S142" s="28" t="s">
        <v>588</v>
      </c>
      <c r="T142" s="29" t="s">
        <v>319</v>
      </c>
      <c r="U142" s="30" t="s">
        <v>591</v>
      </c>
    </row>
    <row r="143" spans="1:21" ht="16.5" customHeight="1">
      <c r="A143" s="3" t="s">
        <v>145</v>
      </c>
      <c r="B143" s="87" t="s">
        <v>438</v>
      </c>
      <c r="C143" s="2">
        <v>1990</v>
      </c>
      <c r="D143" s="85" t="s">
        <v>99</v>
      </c>
      <c r="E143" s="2" t="s">
        <v>594</v>
      </c>
      <c r="F143" s="90">
        <v>5</v>
      </c>
      <c r="G143" s="90">
        <v>3</v>
      </c>
      <c r="H143" s="88">
        <v>2794.15</v>
      </c>
      <c r="I143" s="89">
        <v>2036.85</v>
      </c>
      <c r="J143" s="89">
        <f>I143-46.1</f>
        <v>1990.75</v>
      </c>
      <c r="K143" s="90">
        <v>80</v>
      </c>
      <c r="L143" s="89">
        <f>'Таблица 2, 3 виды ремонта'!C138</f>
        <v>300000</v>
      </c>
      <c r="M143" s="1">
        <v>0</v>
      </c>
      <c r="N143" s="1">
        <v>0</v>
      </c>
      <c r="O143" s="1">
        <v>0</v>
      </c>
      <c r="P143" s="89">
        <f t="shared" si="4"/>
        <v>300000</v>
      </c>
      <c r="Q143" s="91" t="s">
        <v>339</v>
      </c>
      <c r="R143" s="27"/>
      <c r="S143" s="28" t="s">
        <v>592</v>
      </c>
      <c r="T143" s="29" t="s">
        <v>319</v>
      </c>
      <c r="U143" s="30" t="s">
        <v>591</v>
      </c>
    </row>
    <row r="144" spans="1:21" ht="16.5" customHeight="1">
      <c r="A144" s="3" t="s">
        <v>146</v>
      </c>
      <c r="B144" s="87" t="s">
        <v>439</v>
      </c>
      <c r="C144" s="2">
        <v>1960</v>
      </c>
      <c r="D144" s="85" t="s">
        <v>99</v>
      </c>
      <c r="E144" s="2" t="s">
        <v>594</v>
      </c>
      <c r="F144" s="90">
        <v>5</v>
      </c>
      <c r="G144" s="90">
        <v>2</v>
      </c>
      <c r="H144" s="88">
        <v>1742.1</v>
      </c>
      <c r="I144" s="89">
        <v>1608.1</v>
      </c>
      <c r="J144" s="89">
        <f>I144-0</f>
        <v>1608.1</v>
      </c>
      <c r="K144" s="90">
        <v>73</v>
      </c>
      <c r="L144" s="89">
        <f>'Таблица 2, 3 виды ремонта'!C139</f>
        <v>800000</v>
      </c>
      <c r="M144" s="1">
        <v>0</v>
      </c>
      <c r="N144" s="1">
        <v>0</v>
      </c>
      <c r="O144" s="1">
        <v>0</v>
      </c>
      <c r="P144" s="89">
        <f t="shared" si="4"/>
        <v>800000</v>
      </c>
      <c r="Q144" s="91" t="s">
        <v>339</v>
      </c>
      <c r="R144" s="27"/>
      <c r="S144" s="28" t="s">
        <v>588</v>
      </c>
      <c r="T144" s="29" t="s">
        <v>326</v>
      </c>
      <c r="U144" s="30" t="s">
        <v>591</v>
      </c>
    </row>
    <row r="145" spans="1:21" ht="16.5" customHeight="1">
      <c r="A145" s="3" t="s">
        <v>613</v>
      </c>
      <c r="B145" s="87" t="s">
        <v>440</v>
      </c>
      <c r="C145" s="2">
        <v>1962</v>
      </c>
      <c r="D145" s="85" t="s">
        <v>99</v>
      </c>
      <c r="E145" s="2" t="s">
        <v>594</v>
      </c>
      <c r="F145" s="90">
        <v>5</v>
      </c>
      <c r="G145" s="90">
        <v>2</v>
      </c>
      <c r="H145" s="88">
        <v>1732.3</v>
      </c>
      <c r="I145" s="89">
        <v>1454.14</v>
      </c>
      <c r="J145" s="89">
        <f>I145-0</f>
        <v>1454.14</v>
      </c>
      <c r="K145" s="90">
        <v>69</v>
      </c>
      <c r="L145" s="89">
        <f>'Таблица 2, 3 виды ремонта'!C140</f>
        <v>800000</v>
      </c>
      <c r="M145" s="1">
        <v>0</v>
      </c>
      <c r="N145" s="1">
        <v>0</v>
      </c>
      <c r="O145" s="1">
        <v>0</v>
      </c>
      <c r="P145" s="89">
        <f t="shared" si="4"/>
        <v>800000</v>
      </c>
      <c r="Q145" s="91" t="s">
        <v>339</v>
      </c>
      <c r="R145" s="27"/>
      <c r="S145" s="32" t="s">
        <v>585</v>
      </c>
      <c r="T145" s="29" t="s">
        <v>323</v>
      </c>
      <c r="U145" s="31" t="s">
        <v>586</v>
      </c>
    </row>
    <row r="146" spans="1:21" ht="16.5" customHeight="1">
      <c r="A146" s="3" t="s">
        <v>614</v>
      </c>
      <c r="B146" s="87" t="s">
        <v>558</v>
      </c>
      <c r="C146" s="90">
        <v>1960</v>
      </c>
      <c r="D146" s="85" t="s">
        <v>99</v>
      </c>
      <c r="E146" s="2" t="s">
        <v>594</v>
      </c>
      <c r="F146" s="90">
        <v>2</v>
      </c>
      <c r="G146" s="90">
        <v>2</v>
      </c>
      <c r="H146" s="89">
        <v>278.3</v>
      </c>
      <c r="I146" s="89">
        <v>278.3</v>
      </c>
      <c r="J146" s="89">
        <v>278.3</v>
      </c>
      <c r="K146" s="92">
        <v>13</v>
      </c>
      <c r="L146" s="89">
        <f>'Таблица 2, 3 виды ремонта'!C141</f>
        <v>17400</v>
      </c>
      <c r="M146" s="1">
        <v>0</v>
      </c>
      <c r="N146" s="1">
        <v>0</v>
      </c>
      <c r="O146" s="1">
        <v>0</v>
      </c>
      <c r="P146" s="89">
        <f t="shared" si="4"/>
        <v>17400</v>
      </c>
      <c r="Q146" s="91" t="s">
        <v>339</v>
      </c>
      <c r="R146" s="27"/>
      <c r="S146" s="26" t="s">
        <v>585</v>
      </c>
      <c r="T146" s="29" t="s">
        <v>326</v>
      </c>
      <c r="U146" s="31" t="s">
        <v>586</v>
      </c>
    </row>
    <row r="147" spans="1:21" ht="16.5" customHeight="1">
      <c r="A147" s="3" t="s">
        <v>615</v>
      </c>
      <c r="B147" s="87" t="s">
        <v>441</v>
      </c>
      <c r="C147" s="97">
        <v>1973</v>
      </c>
      <c r="D147" s="85" t="s">
        <v>99</v>
      </c>
      <c r="E147" s="2" t="s">
        <v>595</v>
      </c>
      <c r="F147" s="90">
        <v>9</v>
      </c>
      <c r="G147" s="90">
        <v>4</v>
      </c>
      <c r="H147" s="88">
        <v>7512.8</v>
      </c>
      <c r="I147" s="89">
        <v>6483.1</v>
      </c>
      <c r="J147" s="89">
        <f>I147-510.9</f>
        <v>5972.200000000001</v>
      </c>
      <c r="K147" s="90">
        <v>297</v>
      </c>
      <c r="L147" s="89">
        <f>'Таблица 2, 3 виды ремонта'!C142</f>
        <v>600000</v>
      </c>
      <c r="M147" s="1">
        <v>0</v>
      </c>
      <c r="N147" s="1">
        <v>0</v>
      </c>
      <c r="O147" s="1">
        <v>0</v>
      </c>
      <c r="P147" s="89">
        <f t="shared" si="4"/>
        <v>600000</v>
      </c>
      <c r="Q147" s="91" t="s">
        <v>339</v>
      </c>
      <c r="R147" s="27"/>
      <c r="S147" s="39" t="s">
        <v>588</v>
      </c>
      <c r="T147" s="29" t="s">
        <v>333</v>
      </c>
      <c r="U147" s="30" t="s">
        <v>586</v>
      </c>
    </row>
    <row r="148" spans="1:21" ht="16.5" customHeight="1">
      <c r="A148" s="3" t="s">
        <v>616</v>
      </c>
      <c r="B148" s="87" t="s">
        <v>442</v>
      </c>
      <c r="C148" s="97">
        <v>1960</v>
      </c>
      <c r="D148" s="85" t="s">
        <v>99</v>
      </c>
      <c r="E148" s="2" t="s">
        <v>594</v>
      </c>
      <c r="F148" s="90">
        <v>4</v>
      </c>
      <c r="G148" s="90">
        <v>2</v>
      </c>
      <c r="H148" s="88">
        <v>1042</v>
      </c>
      <c r="I148" s="89">
        <v>993</v>
      </c>
      <c r="J148" s="89">
        <f>66.4</f>
        <v>66.4</v>
      </c>
      <c r="K148" s="90">
        <v>68</v>
      </c>
      <c r="L148" s="89">
        <f>'Таблица 2, 3 виды ремонта'!C143</f>
        <v>1150000</v>
      </c>
      <c r="M148" s="1">
        <v>0</v>
      </c>
      <c r="N148" s="1">
        <v>0</v>
      </c>
      <c r="O148" s="1">
        <v>0</v>
      </c>
      <c r="P148" s="89">
        <f t="shared" si="4"/>
        <v>1150000</v>
      </c>
      <c r="Q148" s="91" t="s">
        <v>339</v>
      </c>
      <c r="R148" s="40"/>
      <c r="S148" s="41" t="s">
        <v>589</v>
      </c>
      <c r="T148" s="42" t="s">
        <v>319</v>
      </c>
      <c r="U148" s="30" t="s">
        <v>586</v>
      </c>
    </row>
    <row r="149" spans="1:21" ht="16.5" customHeight="1">
      <c r="A149" s="3" t="s">
        <v>147</v>
      </c>
      <c r="B149" s="87" t="s">
        <v>443</v>
      </c>
      <c r="C149" s="93">
        <v>1968</v>
      </c>
      <c r="D149" s="85" t="s">
        <v>99</v>
      </c>
      <c r="E149" s="2" t="s">
        <v>595</v>
      </c>
      <c r="F149" s="90">
        <v>5</v>
      </c>
      <c r="G149" s="90">
        <v>6</v>
      </c>
      <c r="H149" s="88">
        <v>5595</v>
      </c>
      <c r="I149" s="89">
        <v>4013</v>
      </c>
      <c r="J149" s="89">
        <f>I149-740.2</f>
        <v>3272.8</v>
      </c>
      <c r="K149" s="90">
        <v>194</v>
      </c>
      <c r="L149" s="89">
        <f>'Таблица 2, 3 виды ремонта'!C144</f>
        <v>1300000</v>
      </c>
      <c r="M149" s="1">
        <v>0</v>
      </c>
      <c r="N149" s="1">
        <v>0</v>
      </c>
      <c r="O149" s="1">
        <v>0</v>
      </c>
      <c r="P149" s="89">
        <f t="shared" si="4"/>
        <v>1300000</v>
      </c>
      <c r="Q149" s="91" t="s">
        <v>339</v>
      </c>
      <c r="R149" s="40"/>
      <c r="S149" s="43" t="s">
        <v>587</v>
      </c>
      <c r="T149" s="42" t="s">
        <v>332</v>
      </c>
      <c r="U149" s="31" t="s">
        <v>586</v>
      </c>
    </row>
    <row r="150" spans="1:21" ht="16.5" customHeight="1">
      <c r="A150" s="3" t="s">
        <v>148</v>
      </c>
      <c r="B150" s="87" t="s">
        <v>444</v>
      </c>
      <c r="C150" s="2">
        <v>1982</v>
      </c>
      <c r="D150" s="85" t="s">
        <v>99</v>
      </c>
      <c r="E150" s="2" t="s">
        <v>595</v>
      </c>
      <c r="F150" s="90">
        <v>9</v>
      </c>
      <c r="G150" s="90">
        <v>4</v>
      </c>
      <c r="H150" s="88">
        <v>9851.2</v>
      </c>
      <c r="I150" s="89">
        <v>7689.2</v>
      </c>
      <c r="J150" s="89">
        <f>I150-1274.1</f>
        <v>6415.1</v>
      </c>
      <c r="K150" s="90">
        <v>355</v>
      </c>
      <c r="L150" s="89">
        <f>'Таблица 2, 3 виды ремонта'!C145</f>
        <v>800000</v>
      </c>
      <c r="M150" s="1">
        <v>0</v>
      </c>
      <c r="N150" s="1">
        <v>0</v>
      </c>
      <c r="O150" s="1">
        <v>0</v>
      </c>
      <c r="P150" s="89">
        <f t="shared" si="4"/>
        <v>800000</v>
      </c>
      <c r="Q150" s="91" t="s">
        <v>339</v>
      </c>
      <c r="R150" s="40" t="s">
        <v>606</v>
      </c>
      <c r="S150" s="44" t="s">
        <v>587</v>
      </c>
      <c r="T150" s="29" t="s">
        <v>332</v>
      </c>
      <c r="U150" s="31" t="s">
        <v>586</v>
      </c>
    </row>
    <row r="151" spans="1:21" ht="16.5" customHeight="1">
      <c r="A151" s="3" t="s">
        <v>149</v>
      </c>
      <c r="B151" s="87" t="s">
        <v>445</v>
      </c>
      <c r="C151" s="2">
        <v>1956</v>
      </c>
      <c r="D151" s="85" t="s">
        <v>99</v>
      </c>
      <c r="E151" s="2" t="s">
        <v>594</v>
      </c>
      <c r="F151" s="90">
        <v>2</v>
      </c>
      <c r="G151" s="90">
        <v>2</v>
      </c>
      <c r="H151" s="88">
        <v>886.06</v>
      </c>
      <c r="I151" s="89">
        <v>588</v>
      </c>
      <c r="J151" s="89">
        <f>I151-0</f>
        <v>588</v>
      </c>
      <c r="K151" s="90">
        <v>29</v>
      </c>
      <c r="L151" s="89">
        <f>'Таблица 2, 3 виды ремонта'!C146</f>
        <v>550000</v>
      </c>
      <c r="M151" s="1">
        <v>0</v>
      </c>
      <c r="N151" s="1">
        <v>0</v>
      </c>
      <c r="O151" s="1">
        <v>0</v>
      </c>
      <c r="P151" s="89">
        <f t="shared" si="4"/>
        <v>550000</v>
      </c>
      <c r="Q151" s="91" t="s">
        <v>339</v>
      </c>
      <c r="R151" s="45" t="s">
        <v>606</v>
      </c>
      <c r="S151" s="41" t="s">
        <v>587</v>
      </c>
      <c r="T151" s="42" t="s">
        <v>318</v>
      </c>
      <c r="U151" s="30" t="s">
        <v>591</v>
      </c>
    </row>
    <row r="152" spans="1:21" ht="16.5" customHeight="1">
      <c r="A152" s="3" t="s">
        <v>150</v>
      </c>
      <c r="B152" s="87" t="s">
        <v>446</v>
      </c>
      <c r="C152" s="2">
        <v>1975</v>
      </c>
      <c r="D152" s="85" t="s">
        <v>99</v>
      </c>
      <c r="E152" s="2" t="s">
        <v>594</v>
      </c>
      <c r="F152" s="90">
        <v>5</v>
      </c>
      <c r="G152" s="90">
        <v>4</v>
      </c>
      <c r="H152" s="88">
        <v>3437.7</v>
      </c>
      <c r="I152" s="89">
        <v>2771</v>
      </c>
      <c r="J152" s="89">
        <f>I152-470.8</f>
        <v>2300.2</v>
      </c>
      <c r="K152" s="90">
        <v>128</v>
      </c>
      <c r="L152" s="89">
        <f>'Таблица 2, 3 виды ремонта'!C147</f>
        <v>1600000</v>
      </c>
      <c r="M152" s="1">
        <v>0</v>
      </c>
      <c r="N152" s="1">
        <v>0</v>
      </c>
      <c r="O152" s="1">
        <v>0</v>
      </c>
      <c r="P152" s="89">
        <f t="shared" si="4"/>
        <v>1600000</v>
      </c>
      <c r="Q152" s="91" t="s">
        <v>339</v>
      </c>
      <c r="R152" s="40"/>
      <c r="S152" s="43" t="s">
        <v>590</v>
      </c>
      <c r="T152" s="42" t="s">
        <v>332</v>
      </c>
      <c r="U152" s="31" t="s">
        <v>586</v>
      </c>
    </row>
    <row r="153" spans="1:21" ht="16.5" customHeight="1">
      <c r="A153" s="3" t="s">
        <v>151</v>
      </c>
      <c r="B153" s="87" t="s">
        <v>447</v>
      </c>
      <c r="C153" s="2">
        <v>1963</v>
      </c>
      <c r="D153" s="85" t="s">
        <v>99</v>
      </c>
      <c r="E153" s="2" t="s">
        <v>594</v>
      </c>
      <c r="F153" s="90">
        <v>6</v>
      </c>
      <c r="G153" s="90">
        <v>3</v>
      </c>
      <c r="H153" s="88">
        <v>2784.6</v>
      </c>
      <c r="I153" s="89">
        <v>2524.7</v>
      </c>
      <c r="J153" s="89">
        <f>I153-300.8</f>
        <v>2223.8999999999996</v>
      </c>
      <c r="K153" s="90">
        <v>115</v>
      </c>
      <c r="L153" s="89">
        <f>'Таблица 2, 3 виды ремонта'!C148</f>
        <v>651870</v>
      </c>
      <c r="M153" s="1">
        <v>0</v>
      </c>
      <c r="N153" s="1">
        <v>0</v>
      </c>
      <c r="O153" s="1">
        <v>0</v>
      </c>
      <c r="P153" s="89">
        <f aca="true" t="shared" si="5" ref="P153:P185">L153</f>
        <v>651870</v>
      </c>
      <c r="Q153" s="91" t="s">
        <v>339</v>
      </c>
      <c r="R153" s="40"/>
      <c r="S153" s="39" t="s">
        <v>588</v>
      </c>
      <c r="T153" s="29" t="s">
        <v>326</v>
      </c>
      <c r="U153" s="30" t="s">
        <v>591</v>
      </c>
    </row>
    <row r="154" spans="1:21" ht="16.5" customHeight="1">
      <c r="A154" s="3" t="s">
        <v>152</v>
      </c>
      <c r="B154" s="87" t="s">
        <v>448</v>
      </c>
      <c r="C154" s="2">
        <v>1979</v>
      </c>
      <c r="D154" s="85" t="s">
        <v>99</v>
      </c>
      <c r="E154" s="2" t="s">
        <v>595</v>
      </c>
      <c r="F154" s="90">
        <v>9</v>
      </c>
      <c r="G154" s="90">
        <v>6</v>
      </c>
      <c r="H154" s="88">
        <v>17937.5</v>
      </c>
      <c r="I154" s="89">
        <v>16009.6</v>
      </c>
      <c r="J154" s="89">
        <f>I154-1356.1</f>
        <v>14653.5</v>
      </c>
      <c r="K154" s="90">
        <v>761</v>
      </c>
      <c r="L154" s="89">
        <f>'Таблица 2, 3 виды ремонта'!C149</f>
        <v>1007500</v>
      </c>
      <c r="M154" s="1">
        <v>0</v>
      </c>
      <c r="N154" s="1">
        <v>0</v>
      </c>
      <c r="O154" s="1">
        <v>0</v>
      </c>
      <c r="P154" s="89">
        <f t="shared" si="5"/>
        <v>1007500</v>
      </c>
      <c r="Q154" s="91" t="s">
        <v>339</v>
      </c>
      <c r="R154" s="45"/>
      <c r="S154" s="39" t="s">
        <v>588</v>
      </c>
      <c r="T154" s="29" t="s">
        <v>326</v>
      </c>
      <c r="U154" s="30" t="s">
        <v>586</v>
      </c>
    </row>
    <row r="155" spans="1:21" ht="16.5" customHeight="1">
      <c r="A155" s="3" t="s">
        <v>153</v>
      </c>
      <c r="B155" s="87" t="s">
        <v>449</v>
      </c>
      <c r="C155" s="2">
        <v>1922</v>
      </c>
      <c r="D155" s="85" t="s">
        <v>99</v>
      </c>
      <c r="E155" s="2" t="s">
        <v>594</v>
      </c>
      <c r="F155" s="90">
        <v>1</v>
      </c>
      <c r="G155" s="90">
        <v>10</v>
      </c>
      <c r="H155" s="88">
        <v>821.2</v>
      </c>
      <c r="I155" s="89">
        <v>367.2</v>
      </c>
      <c r="J155" s="89">
        <f>I155-0</f>
        <v>367.2</v>
      </c>
      <c r="K155" s="90">
        <v>22</v>
      </c>
      <c r="L155" s="89">
        <f>'Таблица 2, 3 виды ремонта'!C150</f>
        <v>1192055</v>
      </c>
      <c r="M155" s="1">
        <v>0</v>
      </c>
      <c r="N155" s="1">
        <v>0</v>
      </c>
      <c r="O155" s="1">
        <v>0</v>
      </c>
      <c r="P155" s="89">
        <f t="shared" si="5"/>
        <v>1192055</v>
      </c>
      <c r="Q155" s="91" t="s">
        <v>339</v>
      </c>
      <c r="R155" s="45"/>
      <c r="S155" s="44" t="s">
        <v>587</v>
      </c>
      <c r="T155" s="29" t="s">
        <v>332</v>
      </c>
      <c r="U155" s="31" t="s">
        <v>586</v>
      </c>
    </row>
    <row r="156" spans="1:21" ht="16.5" customHeight="1">
      <c r="A156" s="3" t="s">
        <v>154</v>
      </c>
      <c r="B156" s="87" t="s">
        <v>450</v>
      </c>
      <c r="C156" s="93">
        <v>1971</v>
      </c>
      <c r="D156" s="85" t="s">
        <v>99</v>
      </c>
      <c r="E156" s="2" t="s">
        <v>594</v>
      </c>
      <c r="F156" s="90">
        <v>5</v>
      </c>
      <c r="G156" s="90">
        <v>2</v>
      </c>
      <c r="H156" s="88">
        <v>5084</v>
      </c>
      <c r="I156" s="89">
        <v>3502</v>
      </c>
      <c r="J156" s="89">
        <f>I156-230.42</f>
        <v>3271.58</v>
      </c>
      <c r="K156" s="90">
        <v>195</v>
      </c>
      <c r="L156" s="89">
        <f>'Таблица 2, 3 виды ремонта'!C151</f>
        <v>700000</v>
      </c>
      <c r="M156" s="1">
        <v>0</v>
      </c>
      <c r="N156" s="1">
        <v>0</v>
      </c>
      <c r="O156" s="1">
        <v>0</v>
      </c>
      <c r="P156" s="89">
        <f t="shared" si="5"/>
        <v>700000</v>
      </c>
      <c r="Q156" s="91" t="s">
        <v>339</v>
      </c>
      <c r="R156" s="45"/>
      <c r="S156" s="44" t="s">
        <v>587</v>
      </c>
      <c r="T156" s="29" t="s">
        <v>329</v>
      </c>
      <c r="U156" s="31" t="s">
        <v>586</v>
      </c>
    </row>
    <row r="157" spans="1:21" ht="16.5" customHeight="1">
      <c r="A157" s="3" t="s">
        <v>155</v>
      </c>
      <c r="B157" s="87" t="s">
        <v>451</v>
      </c>
      <c r="C157" s="93">
        <v>1975</v>
      </c>
      <c r="D157" s="85" t="s">
        <v>99</v>
      </c>
      <c r="E157" s="2" t="s">
        <v>594</v>
      </c>
      <c r="F157" s="85">
        <v>5</v>
      </c>
      <c r="G157" s="85">
        <v>4</v>
      </c>
      <c r="H157" s="88">
        <v>5351</v>
      </c>
      <c r="I157" s="89">
        <v>3633</v>
      </c>
      <c r="J157" s="1">
        <f>I157-389.5</f>
        <v>3243.5</v>
      </c>
      <c r="K157" s="90">
        <v>170</v>
      </c>
      <c r="L157" s="89">
        <f>'Таблица 2, 3 виды ремонта'!C152</f>
        <v>1300000</v>
      </c>
      <c r="M157" s="1">
        <v>0</v>
      </c>
      <c r="N157" s="1">
        <v>0</v>
      </c>
      <c r="O157" s="1">
        <v>0</v>
      </c>
      <c r="P157" s="89">
        <f t="shared" si="5"/>
        <v>1300000</v>
      </c>
      <c r="Q157" s="91" t="s">
        <v>339</v>
      </c>
      <c r="R157" s="46"/>
      <c r="S157" s="44" t="s">
        <v>587</v>
      </c>
      <c r="T157" s="29" t="s">
        <v>318</v>
      </c>
      <c r="U157" s="31" t="s">
        <v>586</v>
      </c>
    </row>
    <row r="158" spans="1:21" ht="16.5" customHeight="1">
      <c r="A158" s="3" t="s">
        <v>303</v>
      </c>
      <c r="B158" s="87" t="s">
        <v>579</v>
      </c>
      <c r="C158" s="90">
        <v>1963</v>
      </c>
      <c r="D158" s="85" t="s">
        <v>99</v>
      </c>
      <c r="E158" s="2" t="s">
        <v>594</v>
      </c>
      <c r="F158" s="90">
        <v>9</v>
      </c>
      <c r="G158" s="90">
        <v>2</v>
      </c>
      <c r="H158" s="89">
        <v>6159.3</v>
      </c>
      <c r="I158" s="89">
        <v>4556.06</v>
      </c>
      <c r="J158" s="89">
        <v>3551.59</v>
      </c>
      <c r="K158" s="92">
        <v>261</v>
      </c>
      <c r="L158" s="89">
        <f>'Таблица 2, 3 виды ремонта'!C153</f>
        <v>800000</v>
      </c>
      <c r="M158" s="1">
        <v>0</v>
      </c>
      <c r="N158" s="1">
        <v>0</v>
      </c>
      <c r="O158" s="1">
        <v>0</v>
      </c>
      <c r="P158" s="89">
        <f t="shared" si="5"/>
        <v>800000</v>
      </c>
      <c r="Q158" s="91" t="s">
        <v>339</v>
      </c>
      <c r="R158" s="46"/>
      <c r="S158" s="43" t="s">
        <v>587</v>
      </c>
      <c r="T158" s="42" t="s">
        <v>334</v>
      </c>
      <c r="U158" s="31" t="s">
        <v>586</v>
      </c>
    </row>
    <row r="159" spans="1:21" ht="16.5" customHeight="1">
      <c r="A159" s="3" t="s">
        <v>156</v>
      </c>
      <c r="B159" s="87" t="s">
        <v>452</v>
      </c>
      <c r="C159" s="93">
        <v>1968</v>
      </c>
      <c r="D159" s="85" t="s">
        <v>99</v>
      </c>
      <c r="E159" s="2" t="s">
        <v>595</v>
      </c>
      <c r="F159" s="90">
        <v>5</v>
      </c>
      <c r="G159" s="90">
        <v>4</v>
      </c>
      <c r="H159" s="88">
        <v>5113.76</v>
      </c>
      <c r="I159" s="89">
        <v>3531.76</v>
      </c>
      <c r="J159" s="89">
        <f>I159-563.9</f>
        <v>2967.86</v>
      </c>
      <c r="K159" s="90">
        <v>156</v>
      </c>
      <c r="L159" s="89">
        <f>'Таблица 2, 3 виды ремонта'!C154</f>
        <v>1200000</v>
      </c>
      <c r="M159" s="1">
        <v>0</v>
      </c>
      <c r="N159" s="1">
        <v>0</v>
      </c>
      <c r="O159" s="1">
        <v>0</v>
      </c>
      <c r="P159" s="89">
        <f t="shared" si="5"/>
        <v>1200000</v>
      </c>
      <c r="Q159" s="91" t="s">
        <v>339</v>
      </c>
      <c r="R159" s="45"/>
      <c r="S159" s="43" t="s">
        <v>587</v>
      </c>
      <c r="T159" s="42" t="s">
        <v>319</v>
      </c>
      <c r="U159" s="31" t="s">
        <v>591</v>
      </c>
    </row>
    <row r="160" spans="1:21" ht="16.5" customHeight="1">
      <c r="A160" s="3" t="s">
        <v>157</v>
      </c>
      <c r="B160" s="87" t="s">
        <v>453</v>
      </c>
      <c r="C160" s="2">
        <v>1968</v>
      </c>
      <c r="D160" s="85" t="s">
        <v>99</v>
      </c>
      <c r="E160" s="2" t="s">
        <v>594</v>
      </c>
      <c r="F160" s="90">
        <v>5</v>
      </c>
      <c r="G160" s="90">
        <v>4</v>
      </c>
      <c r="H160" s="88">
        <v>4296.4</v>
      </c>
      <c r="I160" s="89">
        <v>3523.4</v>
      </c>
      <c r="J160" s="89">
        <f>I160-384</f>
        <v>3139.4</v>
      </c>
      <c r="K160" s="90">
        <v>160</v>
      </c>
      <c r="L160" s="89">
        <f>'Таблица 2, 3 виды ремонта'!C155</f>
        <v>1300000</v>
      </c>
      <c r="M160" s="1">
        <v>0</v>
      </c>
      <c r="N160" s="1">
        <v>0</v>
      </c>
      <c r="O160" s="1">
        <v>0</v>
      </c>
      <c r="P160" s="89">
        <f t="shared" si="5"/>
        <v>1300000</v>
      </c>
      <c r="Q160" s="91" t="s">
        <v>339</v>
      </c>
      <c r="R160" s="40"/>
      <c r="S160" s="43" t="s">
        <v>587</v>
      </c>
      <c r="T160" s="42" t="s">
        <v>318</v>
      </c>
      <c r="U160" s="31" t="s">
        <v>586</v>
      </c>
    </row>
    <row r="161" spans="1:21" ht="16.5" customHeight="1">
      <c r="A161" s="3" t="s">
        <v>158</v>
      </c>
      <c r="B161" s="87" t="s">
        <v>454</v>
      </c>
      <c r="C161" s="105">
        <v>1991</v>
      </c>
      <c r="D161" s="85" t="s">
        <v>99</v>
      </c>
      <c r="E161" s="2" t="s">
        <v>594</v>
      </c>
      <c r="F161" s="90">
        <v>5</v>
      </c>
      <c r="G161" s="90">
        <v>1</v>
      </c>
      <c r="H161" s="88">
        <v>2522.1</v>
      </c>
      <c r="I161" s="89">
        <v>2522.1</v>
      </c>
      <c r="J161" s="89">
        <f>I161-24</f>
        <v>2498.1</v>
      </c>
      <c r="K161" s="90">
        <v>131</v>
      </c>
      <c r="L161" s="89">
        <f>'Таблица 2, 3 виды ремонта'!C156</f>
        <v>1524500</v>
      </c>
      <c r="M161" s="1">
        <v>0</v>
      </c>
      <c r="N161" s="1">
        <v>0</v>
      </c>
      <c r="O161" s="1">
        <v>0</v>
      </c>
      <c r="P161" s="89">
        <f t="shared" si="5"/>
        <v>1524500</v>
      </c>
      <c r="Q161" s="91" t="s">
        <v>339</v>
      </c>
      <c r="R161" s="46"/>
      <c r="S161" s="43" t="s">
        <v>590</v>
      </c>
      <c r="T161" s="42" t="s">
        <v>318</v>
      </c>
      <c r="U161" s="31" t="s">
        <v>586</v>
      </c>
    </row>
    <row r="162" spans="1:21" ht="16.5" customHeight="1">
      <c r="A162" s="3" t="s">
        <v>159</v>
      </c>
      <c r="B162" s="87" t="s">
        <v>455</v>
      </c>
      <c r="C162" s="105">
        <v>1991</v>
      </c>
      <c r="D162" s="85" t="s">
        <v>99</v>
      </c>
      <c r="E162" s="2" t="s">
        <v>594</v>
      </c>
      <c r="F162" s="90">
        <v>5</v>
      </c>
      <c r="G162" s="90">
        <v>1</v>
      </c>
      <c r="H162" s="88">
        <v>2704.3</v>
      </c>
      <c r="I162" s="89">
        <v>2704.3</v>
      </c>
      <c r="J162" s="89">
        <f>I162-212.44</f>
        <v>2491.86</v>
      </c>
      <c r="K162" s="90">
        <v>131</v>
      </c>
      <c r="L162" s="89">
        <f>'Таблица 2, 3 виды ремонта'!C157</f>
        <v>2305840</v>
      </c>
      <c r="M162" s="1">
        <v>0</v>
      </c>
      <c r="N162" s="1">
        <v>0</v>
      </c>
      <c r="O162" s="1">
        <v>0</v>
      </c>
      <c r="P162" s="89">
        <f t="shared" si="5"/>
        <v>2305840</v>
      </c>
      <c r="Q162" s="91" t="s">
        <v>339</v>
      </c>
      <c r="R162" s="46"/>
      <c r="S162" s="43" t="s">
        <v>590</v>
      </c>
      <c r="T162" s="42" t="s">
        <v>319</v>
      </c>
      <c r="U162" s="31" t="s">
        <v>586</v>
      </c>
    </row>
    <row r="163" spans="1:21" ht="16.5" customHeight="1">
      <c r="A163" s="3" t="s">
        <v>160</v>
      </c>
      <c r="B163" s="87" t="s">
        <v>577</v>
      </c>
      <c r="C163" s="97">
        <v>1917</v>
      </c>
      <c r="D163" s="85" t="s">
        <v>99</v>
      </c>
      <c r="E163" s="2" t="s">
        <v>594</v>
      </c>
      <c r="F163" s="90">
        <v>1</v>
      </c>
      <c r="G163" s="90">
        <v>2</v>
      </c>
      <c r="H163" s="88">
        <v>990.6</v>
      </c>
      <c r="I163" s="89">
        <v>733.1</v>
      </c>
      <c r="J163" s="89">
        <f>I163-277.59</f>
        <v>455.51000000000005</v>
      </c>
      <c r="K163" s="90">
        <v>45</v>
      </c>
      <c r="L163" s="89">
        <f>'Таблица 2, 3 виды ремонта'!C158</f>
        <v>2678250</v>
      </c>
      <c r="M163" s="1">
        <v>0</v>
      </c>
      <c r="N163" s="1">
        <v>0</v>
      </c>
      <c r="O163" s="1">
        <v>0</v>
      </c>
      <c r="P163" s="89">
        <f t="shared" si="5"/>
        <v>2678250</v>
      </c>
      <c r="Q163" s="91" t="s">
        <v>339</v>
      </c>
      <c r="R163" s="46" t="s">
        <v>606</v>
      </c>
      <c r="S163" s="43" t="s">
        <v>592</v>
      </c>
      <c r="T163" s="42" t="s">
        <v>328</v>
      </c>
      <c r="U163" s="31" t="s">
        <v>586</v>
      </c>
    </row>
    <row r="164" spans="1:21" ht="16.5" customHeight="1">
      <c r="A164" s="3" t="s">
        <v>161</v>
      </c>
      <c r="B164" s="87" t="s">
        <v>458</v>
      </c>
      <c r="C164" s="2">
        <v>1958</v>
      </c>
      <c r="D164" s="85" t="s">
        <v>99</v>
      </c>
      <c r="E164" s="2" t="s">
        <v>594</v>
      </c>
      <c r="F164" s="90">
        <v>2</v>
      </c>
      <c r="G164" s="90">
        <v>1</v>
      </c>
      <c r="H164" s="88">
        <v>631</v>
      </c>
      <c r="I164" s="89">
        <v>631</v>
      </c>
      <c r="J164" s="89">
        <f>I164-0</f>
        <v>631</v>
      </c>
      <c r="K164" s="90">
        <v>30</v>
      </c>
      <c r="L164" s="89">
        <f>'Таблица 2, 3 виды ремонта'!C159</f>
        <v>350000</v>
      </c>
      <c r="M164" s="1">
        <v>0</v>
      </c>
      <c r="N164" s="1">
        <v>0</v>
      </c>
      <c r="O164" s="1">
        <v>0</v>
      </c>
      <c r="P164" s="89">
        <f t="shared" si="5"/>
        <v>350000</v>
      </c>
      <c r="Q164" s="91" t="s">
        <v>339</v>
      </c>
      <c r="R164" s="46"/>
      <c r="S164" s="43" t="s">
        <v>587</v>
      </c>
      <c r="T164" s="42" t="s">
        <v>325</v>
      </c>
      <c r="U164" s="31" t="s">
        <v>586</v>
      </c>
    </row>
    <row r="165" spans="1:21" ht="16.5" customHeight="1">
      <c r="A165" s="3" t="s">
        <v>162</v>
      </c>
      <c r="B165" s="87" t="s">
        <v>459</v>
      </c>
      <c r="C165" s="2">
        <v>1962</v>
      </c>
      <c r="D165" s="85" t="s">
        <v>99</v>
      </c>
      <c r="E165" s="2" t="s">
        <v>594</v>
      </c>
      <c r="F165" s="90">
        <v>5</v>
      </c>
      <c r="G165" s="90">
        <v>3</v>
      </c>
      <c r="H165" s="88">
        <v>2387.98</v>
      </c>
      <c r="I165" s="89">
        <v>2387.98</v>
      </c>
      <c r="J165" s="89">
        <f>I165-87.9</f>
        <v>2300.08</v>
      </c>
      <c r="K165" s="90">
        <v>133</v>
      </c>
      <c r="L165" s="89">
        <f>'Таблица 2, 3 виды ремонта'!C160</f>
        <v>750000</v>
      </c>
      <c r="M165" s="1">
        <v>0</v>
      </c>
      <c r="N165" s="1">
        <v>0</v>
      </c>
      <c r="O165" s="1">
        <v>0</v>
      </c>
      <c r="P165" s="89">
        <f t="shared" si="5"/>
        <v>750000</v>
      </c>
      <c r="Q165" s="91" t="s">
        <v>339</v>
      </c>
      <c r="R165" s="40"/>
      <c r="S165" s="43" t="s">
        <v>587</v>
      </c>
      <c r="T165" s="42" t="s">
        <v>325</v>
      </c>
      <c r="U165" s="31" t="s">
        <v>586</v>
      </c>
    </row>
    <row r="166" spans="1:21" ht="16.5" customHeight="1">
      <c r="A166" s="3" t="s">
        <v>163</v>
      </c>
      <c r="B166" s="87" t="s">
        <v>460</v>
      </c>
      <c r="C166" s="2">
        <v>1981</v>
      </c>
      <c r="D166" s="85" t="s">
        <v>99</v>
      </c>
      <c r="E166" s="2" t="s">
        <v>594</v>
      </c>
      <c r="F166" s="85">
        <v>5</v>
      </c>
      <c r="G166" s="85">
        <v>4</v>
      </c>
      <c r="H166" s="88">
        <v>3229.37</v>
      </c>
      <c r="I166" s="89">
        <v>2793.8</v>
      </c>
      <c r="J166" s="1">
        <f>I166-275.4</f>
        <v>2518.4</v>
      </c>
      <c r="K166" s="90">
        <v>130</v>
      </c>
      <c r="L166" s="89">
        <f>'Таблица 2, 3 виды ремонта'!C161</f>
        <v>700000</v>
      </c>
      <c r="M166" s="1">
        <v>0</v>
      </c>
      <c r="N166" s="1">
        <v>0</v>
      </c>
      <c r="O166" s="1">
        <v>0</v>
      </c>
      <c r="P166" s="89">
        <f t="shared" si="5"/>
        <v>700000</v>
      </c>
      <c r="Q166" s="91" t="s">
        <v>339</v>
      </c>
      <c r="R166" s="46"/>
      <c r="S166" s="44" t="s">
        <v>590</v>
      </c>
      <c r="T166" s="29" t="s">
        <v>319</v>
      </c>
      <c r="U166" s="31" t="s">
        <v>591</v>
      </c>
    </row>
    <row r="167" spans="1:21" ht="16.5" customHeight="1">
      <c r="A167" s="3" t="s">
        <v>164</v>
      </c>
      <c r="B167" s="87" t="s">
        <v>461</v>
      </c>
      <c r="C167" s="2">
        <v>1953</v>
      </c>
      <c r="D167" s="85" t="s">
        <v>99</v>
      </c>
      <c r="E167" s="85" t="s">
        <v>341</v>
      </c>
      <c r="F167" s="90">
        <v>3</v>
      </c>
      <c r="G167" s="90">
        <v>2</v>
      </c>
      <c r="H167" s="88">
        <v>1082.3</v>
      </c>
      <c r="I167" s="89">
        <v>959.4</v>
      </c>
      <c r="J167" s="1">
        <f>I167-230.6</f>
        <v>728.8</v>
      </c>
      <c r="K167" s="90">
        <v>49</v>
      </c>
      <c r="L167" s="89">
        <f>'Таблица 2, 3 виды ремонта'!C162</f>
        <v>350000</v>
      </c>
      <c r="M167" s="1">
        <v>0</v>
      </c>
      <c r="N167" s="1">
        <v>0</v>
      </c>
      <c r="O167" s="1">
        <v>0</v>
      </c>
      <c r="P167" s="89">
        <f t="shared" si="5"/>
        <v>350000</v>
      </c>
      <c r="Q167" s="91" t="s">
        <v>339</v>
      </c>
      <c r="R167" s="45"/>
      <c r="S167" s="44" t="s">
        <v>590</v>
      </c>
      <c r="T167" s="29" t="s">
        <v>330</v>
      </c>
      <c r="U167" s="31" t="s">
        <v>586</v>
      </c>
    </row>
    <row r="168" spans="1:21" ht="16.5" customHeight="1">
      <c r="A168" s="3" t="s">
        <v>165</v>
      </c>
      <c r="B168" s="87" t="s">
        <v>462</v>
      </c>
      <c r="C168" s="105">
        <v>1986</v>
      </c>
      <c r="D168" s="85" t="s">
        <v>99</v>
      </c>
      <c r="E168" s="2" t="s">
        <v>594</v>
      </c>
      <c r="F168" s="85">
        <v>9</v>
      </c>
      <c r="G168" s="85">
        <v>1</v>
      </c>
      <c r="H168" s="88">
        <v>5230.6</v>
      </c>
      <c r="I168" s="89">
        <v>4969.2</v>
      </c>
      <c r="J168" s="89">
        <f>I168-358.07</f>
        <v>4611.13</v>
      </c>
      <c r="K168" s="90">
        <v>228</v>
      </c>
      <c r="L168" s="89">
        <f>'Таблица 2, 3 виды ремонта'!C163</f>
        <v>5636200</v>
      </c>
      <c r="M168" s="1">
        <v>0</v>
      </c>
      <c r="N168" s="1">
        <v>0</v>
      </c>
      <c r="O168" s="1">
        <v>0</v>
      </c>
      <c r="P168" s="89">
        <f t="shared" si="5"/>
        <v>5636200</v>
      </c>
      <c r="Q168" s="91" t="s">
        <v>339</v>
      </c>
      <c r="R168" s="45" t="s">
        <v>606</v>
      </c>
      <c r="S168" s="43" t="s">
        <v>590</v>
      </c>
      <c r="T168" s="42" t="s">
        <v>319</v>
      </c>
      <c r="U168" s="31" t="s">
        <v>586</v>
      </c>
    </row>
    <row r="169" spans="1:21" ht="16.5" customHeight="1">
      <c r="A169" s="3" t="s">
        <v>166</v>
      </c>
      <c r="B169" s="87" t="s">
        <v>463</v>
      </c>
      <c r="C169" s="2">
        <v>1976</v>
      </c>
      <c r="D169" s="85" t="s">
        <v>99</v>
      </c>
      <c r="E169" s="2" t="s">
        <v>595</v>
      </c>
      <c r="F169" s="90">
        <v>9</v>
      </c>
      <c r="G169" s="90">
        <v>2</v>
      </c>
      <c r="H169" s="88">
        <v>4230.21</v>
      </c>
      <c r="I169" s="89">
        <v>4019.91</v>
      </c>
      <c r="J169" s="1">
        <f>I169-0</f>
        <v>4019.91</v>
      </c>
      <c r="K169" s="90">
        <v>185</v>
      </c>
      <c r="L169" s="89">
        <f>'Таблица 2, 3 виды ремонта'!C164</f>
        <v>1208909</v>
      </c>
      <c r="M169" s="1">
        <v>0</v>
      </c>
      <c r="N169" s="1">
        <v>0</v>
      </c>
      <c r="O169" s="1">
        <v>0</v>
      </c>
      <c r="P169" s="89">
        <f t="shared" si="5"/>
        <v>1208909</v>
      </c>
      <c r="Q169" s="91" t="s">
        <v>339</v>
      </c>
      <c r="R169" s="45" t="s">
        <v>606</v>
      </c>
      <c r="S169" s="44" t="s">
        <v>589</v>
      </c>
      <c r="T169" s="29" t="s">
        <v>319</v>
      </c>
      <c r="U169" s="31" t="s">
        <v>586</v>
      </c>
    </row>
    <row r="170" spans="1:21" ht="16.5" customHeight="1">
      <c r="A170" s="3" t="s">
        <v>167</v>
      </c>
      <c r="B170" s="87" t="s">
        <v>464</v>
      </c>
      <c r="C170" s="2">
        <v>1979</v>
      </c>
      <c r="D170" s="85" t="s">
        <v>99</v>
      </c>
      <c r="E170" s="2" t="s">
        <v>595</v>
      </c>
      <c r="F170" s="85">
        <v>9</v>
      </c>
      <c r="G170" s="85">
        <v>2</v>
      </c>
      <c r="H170" s="88">
        <v>4494.53</v>
      </c>
      <c r="I170" s="89">
        <v>4074.53</v>
      </c>
      <c r="J170" s="89">
        <f>I170-0</f>
        <v>4074.53</v>
      </c>
      <c r="K170" s="90">
        <v>186</v>
      </c>
      <c r="L170" s="89">
        <f>'Таблица 2, 3 виды ремонта'!C165</f>
        <v>962640</v>
      </c>
      <c r="M170" s="1">
        <v>0</v>
      </c>
      <c r="N170" s="1">
        <v>0</v>
      </c>
      <c r="O170" s="1">
        <v>0</v>
      </c>
      <c r="P170" s="89">
        <f t="shared" si="5"/>
        <v>962640</v>
      </c>
      <c r="Q170" s="91" t="s">
        <v>339</v>
      </c>
      <c r="R170" s="40"/>
      <c r="S170" s="43" t="s">
        <v>589</v>
      </c>
      <c r="T170" s="42" t="s">
        <v>319</v>
      </c>
      <c r="U170" s="31" t="s">
        <v>586</v>
      </c>
    </row>
    <row r="171" spans="1:21" ht="16.5" customHeight="1">
      <c r="A171" s="3" t="s">
        <v>168</v>
      </c>
      <c r="B171" s="87" t="s">
        <v>465</v>
      </c>
      <c r="C171" s="2">
        <v>1959</v>
      </c>
      <c r="D171" s="85" t="s">
        <v>99</v>
      </c>
      <c r="E171" s="2" t="s">
        <v>594</v>
      </c>
      <c r="F171" s="90">
        <v>3</v>
      </c>
      <c r="G171" s="90">
        <v>4</v>
      </c>
      <c r="H171" s="88">
        <v>2131.13</v>
      </c>
      <c r="I171" s="89">
        <v>2106.83</v>
      </c>
      <c r="J171" s="1">
        <f>I171-402.26</f>
        <v>1704.57</v>
      </c>
      <c r="K171" s="90">
        <v>102</v>
      </c>
      <c r="L171" s="89">
        <f>'Таблица 2, 3 виды ремонта'!C166</f>
        <v>450000</v>
      </c>
      <c r="M171" s="1">
        <v>0</v>
      </c>
      <c r="N171" s="1">
        <v>0</v>
      </c>
      <c r="O171" s="1">
        <v>0</v>
      </c>
      <c r="P171" s="89">
        <f t="shared" si="5"/>
        <v>450000</v>
      </c>
      <c r="Q171" s="91" t="s">
        <v>339</v>
      </c>
      <c r="R171" s="45"/>
      <c r="S171" s="43" t="s">
        <v>587</v>
      </c>
      <c r="T171" s="42" t="s">
        <v>330</v>
      </c>
      <c r="U171" s="31" t="s">
        <v>586</v>
      </c>
    </row>
    <row r="172" spans="1:21" ht="16.5" customHeight="1">
      <c r="A172" s="3" t="s">
        <v>169</v>
      </c>
      <c r="B172" s="87" t="s">
        <v>350</v>
      </c>
      <c r="C172" s="2">
        <v>1987</v>
      </c>
      <c r="D172" s="85" t="s">
        <v>99</v>
      </c>
      <c r="E172" s="2" t="s">
        <v>595</v>
      </c>
      <c r="F172" s="90">
        <v>5</v>
      </c>
      <c r="G172" s="90">
        <v>1</v>
      </c>
      <c r="H172" s="88">
        <v>3142.7</v>
      </c>
      <c r="I172" s="89">
        <v>2674.1</v>
      </c>
      <c r="J172" s="89">
        <f>I172-305</f>
        <v>2369.1</v>
      </c>
      <c r="K172" s="90">
        <v>135</v>
      </c>
      <c r="L172" s="89">
        <f>'Таблица 2, 3 виды ремонта'!C167</f>
        <v>1000000</v>
      </c>
      <c r="M172" s="1">
        <v>0</v>
      </c>
      <c r="N172" s="1">
        <v>0</v>
      </c>
      <c r="O172" s="1">
        <v>0</v>
      </c>
      <c r="P172" s="89">
        <f t="shared" si="5"/>
        <v>1000000</v>
      </c>
      <c r="Q172" s="91" t="s">
        <v>339</v>
      </c>
      <c r="R172" s="40"/>
      <c r="S172" s="43" t="s">
        <v>587</v>
      </c>
      <c r="T172" s="42" t="s">
        <v>322</v>
      </c>
      <c r="U172" s="31" t="s">
        <v>586</v>
      </c>
    </row>
    <row r="173" spans="1:21" ht="16.5" customHeight="1">
      <c r="A173" s="3" t="s">
        <v>170</v>
      </c>
      <c r="B173" s="87" t="s">
        <v>351</v>
      </c>
      <c r="C173" s="2">
        <v>1994</v>
      </c>
      <c r="D173" s="85" t="s">
        <v>99</v>
      </c>
      <c r="E173" s="2" t="s">
        <v>595</v>
      </c>
      <c r="F173" s="90">
        <v>5</v>
      </c>
      <c r="G173" s="90">
        <v>5</v>
      </c>
      <c r="H173" s="88">
        <v>4089.8</v>
      </c>
      <c r="I173" s="89">
        <v>3653.8</v>
      </c>
      <c r="J173" s="89">
        <f>I173-344</f>
        <v>3309.8</v>
      </c>
      <c r="K173" s="90">
        <v>179</v>
      </c>
      <c r="L173" s="89">
        <f>'Таблица 2, 3 виды ремонта'!C168</f>
        <v>1700000</v>
      </c>
      <c r="M173" s="1">
        <v>0</v>
      </c>
      <c r="N173" s="1">
        <v>0</v>
      </c>
      <c r="O173" s="1">
        <v>0</v>
      </c>
      <c r="P173" s="89">
        <f t="shared" si="5"/>
        <v>1700000</v>
      </c>
      <c r="Q173" s="91" t="s">
        <v>339</v>
      </c>
      <c r="R173" s="46"/>
      <c r="S173" s="43" t="s">
        <v>587</v>
      </c>
      <c r="T173" s="42" t="s">
        <v>318</v>
      </c>
      <c r="U173" s="31" t="s">
        <v>586</v>
      </c>
    </row>
    <row r="174" spans="1:21" ht="16.5" customHeight="1">
      <c r="A174" s="3" t="s">
        <v>171</v>
      </c>
      <c r="B174" s="87" t="s">
        <v>352</v>
      </c>
      <c r="C174" s="2">
        <v>1995</v>
      </c>
      <c r="D174" s="85" t="s">
        <v>99</v>
      </c>
      <c r="E174" s="2" t="s">
        <v>595</v>
      </c>
      <c r="F174" s="90">
        <v>5</v>
      </c>
      <c r="G174" s="90">
        <v>4</v>
      </c>
      <c r="H174" s="88">
        <v>3201</v>
      </c>
      <c r="I174" s="89">
        <v>2852.2</v>
      </c>
      <c r="J174" s="89">
        <f>I174-0</f>
        <v>2852.2</v>
      </c>
      <c r="K174" s="90">
        <v>85</v>
      </c>
      <c r="L174" s="89">
        <f>'Таблица 2, 3 виды ремонта'!C169</f>
        <v>600000</v>
      </c>
      <c r="M174" s="1">
        <v>0</v>
      </c>
      <c r="N174" s="1">
        <v>0</v>
      </c>
      <c r="O174" s="1">
        <v>0</v>
      </c>
      <c r="P174" s="89">
        <f t="shared" si="5"/>
        <v>600000</v>
      </c>
      <c r="Q174" s="91" t="s">
        <v>339</v>
      </c>
      <c r="R174" s="40"/>
      <c r="S174" s="44" t="s">
        <v>587</v>
      </c>
      <c r="T174" s="29" t="s">
        <v>323</v>
      </c>
      <c r="U174" s="31" t="s">
        <v>586</v>
      </c>
    </row>
    <row r="175" spans="1:21" ht="16.5" customHeight="1">
      <c r="A175" s="3" t="s">
        <v>304</v>
      </c>
      <c r="B175" s="87" t="s">
        <v>353</v>
      </c>
      <c r="C175" s="93">
        <v>1995</v>
      </c>
      <c r="D175" s="85" t="s">
        <v>99</v>
      </c>
      <c r="E175" s="2" t="s">
        <v>595</v>
      </c>
      <c r="F175" s="90">
        <v>5</v>
      </c>
      <c r="G175" s="90">
        <v>4</v>
      </c>
      <c r="H175" s="88">
        <v>4545.26</v>
      </c>
      <c r="I175" s="89">
        <v>2865.26</v>
      </c>
      <c r="J175" s="89">
        <f>I175-197.09</f>
        <v>2668.17</v>
      </c>
      <c r="K175" s="90">
        <v>141</v>
      </c>
      <c r="L175" s="89">
        <f>'Таблица 2, 3 виды ремонта'!C170</f>
        <v>1400000</v>
      </c>
      <c r="M175" s="1">
        <v>0</v>
      </c>
      <c r="N175" s="1">
        <v>0</v>
      </c>
      <c r="O175" s="1">
        <v>0</v>
      </c>
      <c r="P175" s="89">
        <f t="shared" si="5"/>
        <v>1400000</v>
      </c>
      <c r="Q175" s="91" t="s">
        <v>339</v>
      </c>
      <c r="R175" s="40"/>
      <c r="S175" s="43" t="s">
        <v>587</v>
      </c>
      <c r="T175" s="42" t="s">
        <v>318</v>
      </c>
      <c r="U175" s="31" t="s">
        <v>591</v>
      </c>
    </row>
    <row r="176" spans="1:21" ht="16.5" customHeight="1">
      <c r="A176" s="3" t="s">
        <v>212</v>
      </c>
      <c r="B176" s="87" t="s">
        <v>466</v>
      </c>
      <c r="C176" s="2">
        <v>1948</v>
      </c>
      <c r="D176" s="85" t="s">
        <v>99</v>
      </c>
      <c r="E176" s="2" t="s">
        <v>594</v>
      </c>
      <c r="F176" s="85">
        <v>2</v>
      </c>
      <c r="G176" s="85">
        <v>2</v>
      </c>
      <c r="H176" s="88">
        <v>400.92</v>
      </c>
      <c r="I176" s="89">
        <v>370.32</v>
      </c>
      <c r="J176" s="89">
        <f>I176-108.1</f>
        <v>262.22</v>
      </c>
      <c r="K176" s="90">
        <v>17</v>
      </c>
      <c r="L176" s="89">
        <f>'Таблица 2, 3 виды ремонта'!C171</f>
        <v>650000</v>
      </c>
      <c r="M176" s="1">
        <v>0</v>
      </c>
      <c r="N176" s="1">
        <v>0</v>
      </c>
      <c r="O176" s="1">
        <v>0</v>
      </c>
      <c r="P176" s="89">
        <f t="shared" si="5"/>
        <v>650000</v>
      </c>
      <c r="Q176" s="91" t="s">
        <v>339</v>
      </c>
      <c r="R176" s="40"/>
      <c r="S176" s="41" t="s">
        <v>587</v>
      </c>
      <c r="T176" s="42" t="s">
        <v>318</v>
      </c>
      <c r="U176" s="30" t="s">
        <v>586</v>
      </c>
    </row>
    <row r="177" spans="1:21" ht="16.5" customHeight="1">
      <c r="A177" s="3" t="s">
        <v>213</v>
      </c>
      <c r="B177" s="87" t="s">
        <v>467</v>
      </c>
      <c r="C177" s="2">
        <v>1958</v>
      </c>
      <c r="D177" s="85" t="s">
        <v>99</v>
      </c>
      <c r="E177" s="2" t="s">
        <v>594</v>
      </c>
      <c r="F177" s="85">
        <v>5</v>
      </c>
      <c r="G177" s="85">
        <v>3</v>
      </c>
      <c r="H177" s="88">
        <v>2376.9</v>
      </c>
      <c r="I177" s="89">
        <v>2209.8</v>
      </c>
      <c r="J177" s="1">
        <f>I177-203.7</f>
        <v>2006.1000000000001</v>
      </c>
      <c r="K177" s="90">
        <v>100</v>
      </c>
      <c r="L177" s="89">
        <f>'Таблица 2, 3 виды ремонта'!C172</f>
        <v>350000</v>
      </c>
      <c r="M177" s="1">
        <v>0</v>
      </c>
      <c r="N177" s="1">
        <v>0</v>
      </c>
      <c r="O177" s="1">
        <v>0</v>
      </c>
      <c r="P177" s="89">
        <f t="shared" si="5"/>
        <v>350000</v>
      </c>
      <c r="Q177" s="91" t="s">
        <v>339</v>
      </c>
      <c r="R177" s="45"/>
      <c r="S177" s="43" t="s">
        <v>587</v>
      </c>
      <c r="T177" s="42" t="s">
        <v>330</v>
      </c>
      <c r="U177" s="31" t="s">
        <v>586</v>
      </c>
    </row>
    <row r="178" spans="1:21" ht="16.5" customHeight="1">
      <c r="A178" s="3" t="s">
        <v>214</v>
      </c>
      <c r="B178" s="87" t="s">
        <v>345</v>
      </c>
      <c r="C178" s="93">
        <v>1974</v>
      </c>
      <c r="D178" s="85" t="s">
        <v>99</v>
      </c>
      <c r="E178" s="2" t="s">
        <v>594</v>
      </c>
      <c r="F178" s="90">
        <v>2</v>
      </c>
      <c r="G178" s="90">
        <v>3</v>
      </c>
      <c r="H178" s="88">
        <v>2523.45</v>
      </c>
      <c r="I178" s="89">
        <v>843.45</v>
      </c>
      <c r="J178" s="89">
        <f>I178-310.15</f>
        <v>533.3000000000001</v>
      </c>
      <c r="K178" s="90">
        <v>57</v>
      </c>
      <c r="L178" s="89">
        <f>'Таблица 2, 3 виды ремонта'!C173</f>
        <v>1500000</v>
      </c>
      <c r="M178" s="1">
        <v>0</v>
      </c>
      <c r="N178" s="1">
        <v>0</v>
      </c>
      <c r="O178" s="1">
        <v>0</v>
      </c>
      <c r="P178" s="89">
        <f t="shared" si="5"/>
        <v>1500000</v>
      </c>
      <c r="Q178" s="91" t="s">
        <v>339</v>
      </c>
      <c r="R178" s="46"/>
      <c r="S178" s="44" t="s">
        <v>587</v>
      </c>
      <c r="T178" s="29" t="s">
        <v>318</v>
      </c>
      <c r="U178" s="31" t="s">
        <v>586</v>
      </c>
    </row>
    <row r="179" spans="1:21" ht="16.5" customHeight="1">
      <c r="A179" s="3" t="s">
        <v>215</v>
      </c>
      <c r="B179" s="87" t="s">
        <v>349</v>
      </c>
      <c r="C179" s="93">
        <v>1979</v>
      </c>
      <c r="D179" s="85" t="s">
        <v>99</v>
      </c>
      <c r="E179" s="2" t="s">
        <v>594</v>
      </c>
      <c r="F179" s="90">
        <v>2</v>
      </c>
      <c r="G179" s="90">
        <v>3</v>
      </c>
      <c r="H179" s="88">
        <v>2630.67</v>
      </c>
      <c r="I179" s="89">
        <v>950.67</v>
      </c>
      <c r="J179" s="89">
        <f>I179-82.4</f>
        <v>868.27</v>
      </c>
      <c r="K179" s="90">
        <v>47</v>
      </c>
      <c r="L179" s="89">
        <f>'Таблица 2, 3 виды ремонта'!C174</f>
        <v>2300000</v>
      </c>
      <c r="M179" s="1">
        <v>0</v>
      </c>
      <c r="N179" s="1">
        <v>0</v>
      </c>
      <c r="O179" s="1">
        <v>0</v>
      </c>
      <c r="P179" s="89">
        <f t="shared" si="5"/>
        <v>2300000</v>
      </c>
      <c r="Q179" s="91" t="s">
        <v>339</v>
      </c>
      <c r="R179" s="40"/>
      <c r="S179" s="43" t="s">
        <v>587</v>
      </c>
      <c r="T179" s="42" t="s">
        <v>319</v>
      </c>
      <c r="U179" s="31" t="s">
        <v>586</v>
      </c>
    </row>
    <row r="180" spans="1:21" ht="16.5" customHeight="1">
      <c r="A180" s="3" t="s">
        <v>216</v>
      </c>
      <c r="B180" s="87" t="s">
        <v>348</v>
      </c>
      <c r="C180" s="2">
        <v>1980</v>
      </c>
      <c r="D180" s="85" t="s">
        <v>99</v>
      </c>
      <c r="E180" s="2" t="s">
        <v>595</v>
      </c>
      <c r="F180" s="90">
        <v>3</v>
      </c>
      <c r="G180" s="90">
        <v>4</v>
      </c>
      <c r="H180" s="88">
        <v>1780.9</v>
      </c>
      <c r="I180" s="89">
        <v>1604.8</v>
      </c>
      <c r="J180" s="89">
        <f>I180-418</f>
        <v>1186.8</v>
      </c>
      <c r="K180" s="90">
        <v>90</v>
      </c>
      <c r="L180" s="89">
        <f>'Таблица 2, 3 виды ремонта'!C175</f>
        <v>1500000</v>
      </c>
      <c r="M180" s="1">
        <v>0</v>
      </c>
      <c r="N180" s="1">
        <v>0</v>
      </c>
      <c r="O180" s="1">
        <v>0</v>
      </c>
      <c r="P180" s="89">
        <f t="shared" si="5"/>
        <v>1500000</v>
      </c>
      <c r="Q180" s="91" t="s">
        <v>339</v>
      </c>
      <c r="R180" s="45"/>
      <c r="S180" s="44" t="s">
        <v>587</v>
      </c>
      <c r="T180" s="29" t="s">
        <v>320</v>
      </c>
      <c r="U180" s="31" t="s">
        <v>586</v>
      </c>
    </row>
    <row r="181" spans="1:21" ht="16.5" customHeight="1">
      <c r="A181" s="3" t="s">
        <v>217</v>
      </c>
      <c r="B181" s="87" t="s">
        <v>347</v>
      </c>
      <c r="C181" s="93">
        <v>1981</v>
      </c>
      <c r="D181" s="85" t="s">
        <v>99</v>
      </c>
      <c r="E181" s="2" t="s">
        <v>595</v>
      </c>
      <c r="F181" s="90">
        <v>3</v>
      </c>
      <c r="G181" s="90">
        <v>4</v>
      </c>
      <c r="H181" s="88">
        <v>3314.2</v>
      </c>
      <c r="I181" s="89">
        <v>1634.2</v>
      </c>
      <c r="J181" s="89">
        <f>I181-83.4</f>
        <v>1550.8</v>
      </c>
      <c r="K181" s="90">
        <v>85</v>
      </c>
      <c r="L181" s="89">
        <f>'Таблица 2, 3 виды ремонта'!C176</f>
        <v>1500000</v>
      </c>
      <c r="M181" s="1">
        <v>0</v>
      </c>
      <c r="N181" s="1">
        <v>0</v>
      </c>
      <c r="O181" s="1">
        <v>0</v>
      </c>
      <c r="P181" s="89">
        <f t="shared" si="5"/>
        <v>1500000</v>
      </c>
      <c r="Q181" s="91" t="s">
        <v>339</v>
      </c>
      <c r="R181" s="40"/>
      <c r="S181" s="44" t="s">
        <v>587</v>
      </c>
      <c r="T181" s="29" t="s">
        <v>318</v>
      </c>
      <c r="U181" s="31" t="s">
        <v>586</v>
      </c>
    </row>
    <row r="182" spans="1:21" ht="16.5" customHeight="1">
      <c r="A182" s="3" t="s">
        <v>218</v>
      </c>
      <c r="B182" s="87" t="s">
        <v>346</v>
      </c>
      <c r="C182" s="93">
        <v>1993</v>
      </c>
      <c r="D182" s="85" t="s">
        <v>99</v>
      </c>
      <c r="E182" s="2" t="s">
        <v>595</v>
      </c>
      <c r="F182" s="85">
        <v>5</v>
      </c>
      <c r="G182" s="85">
        <v>6</v>
      </c>
      <c r="H182" s="88">
        <v>5999.2</v>
      </c>
      <c r="I182" s="89">
        <v>4319.2</v>
      </c>
      <c r="J182" s="1">
        <f>I182-688</f>
        <v>3631.2</v>
      </c>
      <c r="K182" s="90">
        <v>204</v>
      </c>
      <c r="L182" s="89">
        <f>'Таблица 2, 3 виды ремонта'!C177</f>
        <v>900000</v>
      </c>
      <c r="M182" s="1">
        <v>0</v>
      </c>
      <c r="N182" s="1">
        <v>0</v>
      </c>
      <c r="O182" s="1">
        <v>0</v>
      </c>
      <c r="P182" s="89">
        <f t="shared" si="5"/>
        <v>900000</v>
      </c>
      <c r="Q182" s="91" t="s">
        <v>339</v>
      </c>
      <c r="R182" s="45"/>
      <c r="S182" s="43" t="s">
        <v>587</v>
      </c>
      <c r="T182" s="42" t="s">
        <v>321</v>
      </c>
      <c r="U182" s="31" t="s">
        <v>586</v>
      </c>
    </row>
    <row r="183" spans="1:21" ht="16.5" customHeight="1">
      <c r="A183" s="3" t="s">
        <v>219</v>
      </c>
      <c r="B183" s="87" t="s">
        <v>468</v>
      </c>
      <c r="C183" s="2">
        <v>1987</v>
      </c>
      <c r="D183" s="85" t="s">
        <v>99</v>
      </c>
      <c r="E183" s="2" t="s">
        <v>595</v>
      </c>
      <c r="F183" s="90">
        <v>9</v>
      </c>
      <c r="G183" s="90">
        <v>4</v>
      </c>
      <c r="H183" s="88">
        <v>8746.71</v>
      </c>
      <c r="I183" s="89">
        <v>7913.61</v>
      </c>
      <c r="J183" s="89">
        <f>I183-708.44</f>
        <v>7205.17</v>
      </c>
      <c r="K183" s="90">
        <v>373</v>
      </c>
      <c r="L183" s="89">
        <f>'Таблица 2, 3 виды ремонта'!C178</f>
        <v>1863821</v>
      </c>
      <c r="M183" s="1">
        <v>0</v>
      </c>
      <c r="N183" s="1">
        <v>0</v>
      </c>
      <c r="O183" s="1">
        <v>0</v>
      </c>
      <c r="P183" s="89">
        <f t="shared" si="5"/>
        <v>1863821</v>
      </c>
      <c r="Q183" s="91" t="s">
        <v>339</v>
      </c>
      <c r="R183" s="45"/>
      <c r="S183" s="43" t="s">
        <v>589</v>
      </c>
      <c r="T183" s="42" t="s">
        <v>318</v>
      </c>
      <c r="U183" s="31" t="s">
        <v>586</v>
      </c>
    </row>
    <row r="184" spans="1:21" ht="16.5" customHeight="1">
      <c r="A184" s="3" t="s">
        <v>220</v>
      </c>
      <c r="B184" s="87" t="s">
        <v>469</v>
      </c>
      <c r="C184" s="97">
        <v>1981</v>
      </c>
      <c r="D184" s="85" t="s">
        <v>99</v>
      </c>
      <c r="E184" s="2" t="s">
        <v>594</v>
      </c>
      <c r="F184" s="85">
        <v>9</v>
      </c>
      <c r="G184" s="85">
        <v>2</v>
      </c>
      <c r="H184" s="88">
        <v>7075.4</v>
      </c>
      <c r="I184" s="89">
        <v>5966.3</v>
      </c>
      <c r="J184" s="1">
        <f>I184-0</f>
        <v>5966.3</v>
      </c>
      <c r="K184" s="90">
        <v>285</v>
      </c>
      <c r="L184" s="89">
        <f>'Таблица 2, 3 виды ремонта'!C179</f>
        <v>700000</v>
      </c>
      <c r="M184" s="1">
        <v>0</v>
      </c>
      <c r="N184" s="1">
        <v>0</v>
      </c>
      <c r="O184" s="1">
        <v>0</v>
      </c>
      <c r="P184" s="89">
        <f t="shared" si="5"/>
        <v>700000</v>
      </c>
      <c r="Q184" s="91" t="s">
        <v>339</v>
      </c>
      <c r="R184" s="40"/>
      <c r="S184" s="43" t="s">
        <v>590</v>
      </c>
      <c r="T184" s="42" t="s">
        <v>326</v>
      </c>
      <c r="U184" s="31" t="s">
        <v>591</v>
      </c>
    </row>
    <row r="185" spans="1:21" ht="16.5" customHeight="1">
      <c r="A185" s="3" t="s">
        <v>221</v>
      </c>
      <c r="B185" s="87" t="s">
        <v>470</v>
      </c>
      <c r="C185" s="97">
        <v>1961</v>
      </c>
      <c r="D185" s="85" t="s">
        <v>99</v>
      </c>
      <c r="E185" s="2" t="s">
        <v>594</v>
      </c>
      <c r="F185" s="85">
        <v>3</v>
      </c>
      <c r="G185" s="85">
        <v>4</v>
      </c>
      <c r="H185" s="88">
        <v>2278.7</v>
      </c>
      <c r="I185" s="89">
        <v>1520.7</v>
      </c>
      <c r="J185" s="1">
        <f>I185-0</f>
        <v>1520.7</v>
      </c>
      <c r="K185" s="90">
        <v>74</v>
      </c>
      <c r="L185" s="89">
        <f>'Таблица 2, 3 виды ремонта'!C180</f>
        <v>1798796</v>
      </c>
      <c r="M185" s="1">
        <v>0</v>
      </c>
      <c r="N185" s="1">
        <v>0</v>
      </c>
      <c r="O185" s="1">
        <v>0</v>
      </c>
      <c r="P185" s="89">
        <f t="shared" si="5"/>
        <v>1798796</v>
      </c>
      <c r="Q185" s="91" t="s">
        <v>339</v>
      </c>
      <c r="R185" s="40"/>
      <c r="S185" s="43" t="s">
        <v>590</v>
      </c>
      <c r="T185" s="42" t="s">
        <v>325</v>
      </c>
      <c r="U185" s="31" t="s">
        <v>586</v>
      </c>
    </row>
    <row r="186" spans="1:21" ht="16.5" customHeight="1">
      <c r="A186" s="3" t="s">
        <v>222</v>
      </c>
      <c r="B186" s="87" t="s">
        <v>471</v>
      </c>
      <c r="C186" s="2">
        <v>1973</v>
      </c>
      <c r="D186" s="85" t="s">
        <v>99</v>
      </c>
      <c r="E186" s="2" t="s">
        <v>594</v>
      </c>
      <c r="F186" s="90">
        <v>5</v>
      </c>
      <c r="G186" s="90">
        <v>8</v>
      </c>
      <c r="H186" s="88">
        <v>8687</v>
      </c>
      <c r="I186" s="89">
        <v>6087.5</v>
      </c>
      <c r="J186" s="89">
        <f>I186-776.3</f>
        <v>5311.2</v>
      </c>
      <c r="K186" s="90">
        <v>300</v>
      </c>
      <c r="L186" s="89">
        <f>'Таблица 2, 3 виды ремонта'!C181</f>
        <v>4438920</v>
      </c>
      <c r="M186" s="1">
        <v>0</v>
      </c>
      <c r="N186" s="1">
        <v>0</v>
      </c>
      <c r="O186" s="1">
        <v>0</v>
      </c>
      <c r="P186" s="89">
        <f aca="true" t="shared" si="6" ref="P186:P216">L186</f>
        <v>4438920</v>
      </c>
      <c r="Q186" s="91" t="s">
        <v>339</v>
      </c>
      <c r="R186" s="47"/>
      <c r="S186" s="43" t="s">
        <v>590</v>
      </c>
      <c r="T186" s="42" t="s">
        <v>319</v>
      </c>
      <c r="U186" s="31" t="s">
        <v>586</v>
      </c>
    </row>
    <row r="187" spans="1:21" ht="16.5" customHeight="1">
      <c r="A187" s="3" t="s">
        <v>223</v>
      </c>
      <c r="B187" s="87" t="s">
        <v>472</v>
      </c>
      <c r="C187" s="2">
        <v>1972</v>
      </c>
      <c r="D187" s="85" t="s">
        <v>99</v>
      </c>
      <c r="E187" s="2" t="s">
        <v>594</v>
      </c>
      <c r="F187" s="90">
        <v>5</v>
      </c>
      <c r="G187" s="90">
        <v>4</v>
      </c>
      <c r="H187" s="88">
        <v>4414</v>
      </c>
      <c r="I187" s="89">
        <v>3215.3</v>
      </c>
      <c r="J187" s="89">
        <f>I187-425.7</f>
        <v>2789.6000000000004</v>
      </c>
      <c r="K187" s="90">
        <v>147</v>
      </c>
      <c r="L187" s="89">
        <f>'Таблица 2, 3 виды ремонта'!C182</f>
        <v>1772560</v>
      </c>
      <c r="M187" s="1">
        <v>0</v>
      </c>
      <c r="N187" s="1">
        <v>0</v>
      </c>
      <c r="O187" s="1">
        <v>0</v>
      </c>
      <c r="P187" s="89">
        <f t="shared" si="6"/>
        <v>1772560</v>
      </c>
      <c r="Q187" s="91" t="s">
        <v>339</v>
      </c>
      <c r="R187" s="40"/>
      <c r="S187" s="43" t="s">
        <v>590</v>
      </c>
      <c r="T187" s="42" t="s">
        <v>325</v>
      </c>
      <c r="U187" s="31" t="s">
        <v>586</v>
      </c>
    </row>
    <row r="188" spans="1:21" ht="16.5" customHeight="1">
      <c r="A188" s="3" t="s">
        <v>224</v>
      </c>
      <c r="B188" s="87" t="s">
        <v>473</v>
      </c>
      <c r="C188" s="2">
        <v>1957</v>
      </c>
      <c r="D188" s="85" t="s">
        <v>99</v>
      </c>
      <c r="E188" s="2" t="s">
        <v>594</v>
      </c>
      <c r="F188" s="90">
        <v>2</v>
      </c>
      <c r="G188" s="90">
        <v>2</v>
      </c>
      <c r="H188" s="88">
        <v>1462.3</v>
      </c>
      <c r="I188" s="89">
        <v>884.51</v>
      </c>
      <c r="J188" s="89">
        <f>I188-133.42</f>
        <v>751.09</v>
      </c>
      <c r="K188" s="90">
        <v>46</v>
      </c>
      <c r="L188" s="89">
        <f>'Таблица 2, 3 виды ремонта'!C183</f>
        <v>700000</v>
      </c>
      <c r="M188" s="1">
        <v>0</v>
      </c>
      <c r="N188" s="1">
        <v>0</v>
      </c>
      <c r="O188" s="1">
        <v>0</v>
      </c>
      <c r="P188" s="89">
        <f t="shared" si="6"/>
        <v>700000</v>
      </c>
      <c r="Q188" s="91" t="s">
        <v>339</v>
      </c>
      <c r="R188" s="46"/>
      <c r="S188" s="44" t="s">
        <v>587</v>
      </c>
      <c r="T188" s="29" t="s">
        <v>325</v>
      </c>
      <c r="U188" s="31" t="s">
        <v>586</v>
      </c>
    </row>
    <row r="189" spans="1:21" ht="16.5" customHeight="1">
      <c r="A189" s="3" t="s">
        <v>225</v>
      </c>
      <c r="B189" s="87" t="s">
        <v>474</v>
      </c>
      <c r="C189" s="2" t="s">
        <v>312</v>
      </c>
      <c r="D189" s="85" t="s">
        <v>99</v>
      </c>
      <c r="E189" s="2" t="s">
        <v>594</v>
      </c>
      <c r="F189" s="90">
        <v>5</v>
      </c>
      <c r="G189" s="90">
        <v>3</v>
      </c>
      <c r="H189" s="88">
        <v>2976.4</v>
      </c>
      <c r="I189" s="89">
        <v>2224.7</v>
      </c>
      <c r="J189" s="89">
        <f>I189-0</f>
        <v>2224.7</v>
      </c>
      <c r="K189" s="90">
        <v>104</v>
      </c>
      <c r="L189" s="89">
        <f>'Таблица 2, 3 виды ремонта'!C184</f>
        <v>1567096</v>
      </c>
      <c r="M189" s="1">
        <v>0</v>
      </c>
      <c r="N189" s="1">
        <v>0</v>
      </c>
      <c r="O189" s="1">
        <v>0</v>
      </c>
      <c r="P189" s="89">
        <f t="shared" si="6"/>
        <v>1567096</v>
      </c>
      <c r="Q189" s="91" t="s">
        <v>339</v>
      </c>
      <c r="R189" s="47"/>
      <c r="S189" s="43" t="s">
        <v>589</v>
      </c>
      <c r="T189" s="42" t="s">
        <v>318</v>
      </c>
      <c r="U189" s="31" t="s">
        <v>586</v>
      </c>
    </row>
    <row r="190" spans="1:21" ht="16.5" customHeight="1">
      <c r="A190" s="3" t="s">
        <v>226</v>
      </c>
      <c r="B190" s="87" t="s">
        <v>475</v>
      </c>
      <c r="C190" s="2">
        <v>1977</v>
      </c>
      <c r="D190" s="85" t="s">
        <v>99</v>
      </c>
      <c r="E190" s="2" t="s">
        <v>594</v>
      </c>
      <c r="F190" s="90">
        <v>5</v>
      </c>
      <c r="G190" s="90">
        <v>3</v>
      </c>
      <c r="H190" s="88">
        <v>3193.8</v>
      </c>
      <c r="I190" s="89">
        <v>2488.2</v>
      </c>
      <c r="J190" s="89">
        <f>I190-0</f>
        <v>2488.2</v>
      </c>
      <c r="K190" s="90">
        <v>115</v>
      </c>
      <c r="L190" s="89">
        <f>'Таблица 2, 3 виды ремонта'!C185</f>
        <v>1107858</v>
      </c>
      <c r="M190" s="1">
        <v>0</v>
      </c>
      <c r="N190" s="1">
        <v>0</v>
      </c>
      <c r="O190" s="1">
        <v>0</v>
      </c>
      <c r="P190" s="89">
        <f t="shared" si="6"/>
        <v>1107858</v>
      </c>
      <c r="Q190" s="91" t="s">
        <v>339</v>
      </c>
      <c r="R190" s="46"/>
      <c r="S190" s="43" t="s">
        <v>589</v>
      </c>
      <c r="T190" s="42" t="s">
        <v>610</v>
      </c>
      <c r="U190" s="31" t="s">
        <v>586</v>
      </c>
    </row>
    <row r="191" spans="1:21" ht="16.5" customHeight="1">
      <c r="A191" s="3" t="s">
        <v>227</v>
      </c>
      <c r="B191" s="87" t="s">
        <v>476</v>
      </c>
      <c r="C191" s="2">
        <v>1966</v>
      </c>
      <c r="D191" s="85" t="s">
        <v>99</v>
      </c>
      <c r="E191" s="2" t="s">
        <v>594</v>
      </c>
      <c r="F191" s="90">
        <v>5</v>
      </c>
      <c r="G191" s="90">
        <v>3</v>
      </c>
      <c r="H191" s="88">
        <v>3432.51</v>
      </c>
      <c r="I191" s="89">
        <v>2651.01</v>
      </c>
      <c r="J191" s="89">
        <f>I191-0</f>
        <v>2651.01</v>
      </c>
      <c r="K191" s="90">
        <v>122</v>
      </c>
      <c r="L191" s="89">
        <f>'Таблица 2, 3 виды ремонта'!C186</f>
        <v>1853500</v>
      </c>
      <c r="M191" s="1">
        <v>0</v>
      </c>
      <c r="N191" s="1">
        <v>0</v>
      </c>
      <c r="O191" s="1">
        <v>0</v>
      </c>
      <c r="P191" s="89">
        <f t="shared" si="6"/>
        <v>1853500</v>
      </c>
      <c r="Q191" s="91" t="s">
        <v>339</v>
      </c>
      <c r="R191" s="40"/>
      <c r="S191" s="44" t="s">
        <v>589</v>
      </c>
      <c r="T191" s="29" t="s">
        <v>325</v>
      </c>
      <c r="U191" s="31" t="s">
        <v>586</v>
      </c>
    </row>
    <row r="192" spans="1:21" ht="16.5" customHeight="1">
      <c r="A192" s="3" t="s">
        <v>228</v>
      </c>
      <c r="B192" s="87" t="s">
        <v>477</v>
      </c>
      <c r="C192" s="97">
        <v>1917</v>
      </c>
      <c r="D192" s="85" t="s">
        <v>99</v>
      </c>
      <c r="E192" s="2" t="s">
        <v>594</v>
      </c>
      <c r="F192" s="90">
        <v>2</v>
      </c>
      <c r="G192" s="90">
        <v>1</v>
      </c>
      <c r="H192" s="88">
        <v>400.4</v>
      </c>
      <c r="I192" s="89">
        <v>400.4</v>
      </c>
      <c r="J192" s="89">
        <f>I192-86.2</f>
        <v>314.2</v>
      </c>
      <c r="K192" s="90">
        <v>7</v>
      </c>
      <c r="L192" s="89">
        <f>'Таблица 2, 3 виды ремонта'!C187</f>
        <v>4110200</v>
      </c>
      <c r="M192" s="1">
        <v>0</v>
      </c>
      <c r="N192" s="1">
        <v>0</v>
      </c>
      <c r="O192" s="1">
        <v>0</v>
      </c>
      <c r="P192" s="89">
        <f t="shared" si="6"/>
        <v>4110200</v>
      </c>
      <c r="Q192" s="91" t="s">
        <v>339</v>
      </c>
      <c r="R192" s="45"/>
      <c r="S192" s="43" t="s">
        <v>592</v>
      </c>
      <c r="T192" s="42" t="s">
        <v>328</v>
      </c>
      <c r="U192" s="31" t="s">
        <v>586</v>
      </c>
    </row>
    <row r="193" spans="1:21" ht="16.5" customHeight="1">
      <c r="A193" s="3" t="s">
        <v>229</v>
      </c>
      <c r="B193" s="87" t="s">
        <v>478</v>
      </c>
      <c r="C193" s="100">
        <v>1874</v>
      </c>
      <c r="D193" s="85" t="s">
        <v>99</v>
      </c>
      <c r="E193" s="2" t="s">
        <v>594</v>
      </c>
      <c r="F193" s="90">
        <v>3</v>
      </c>
      <c r="G193" s="90">
        <v>3</v>
      </c>
      <c r="H193" s="88">
        <v>3176.88</v>
      </c>
      <c r="I193" s="89">
        <v>1612.88</v>
      </c>
      <c r="J193" s="89">
        <f>I193-66.4</f>
        <v>1546.48</v>
      </c>
      <c r="K193" s="90">
        <v>55</v>
      </c>
      <c r="L193" s="89">
        <f>'Таблица 2, 3 виды ремонта'!C188</f>
        <v>3114450</v>
      </c>
      <c r="M193" s="1">
        <v>0</v>
      </c>
      <c r="N193" s="1">
        <v>0</v>
      </c>
      <c r="O193" s="1">
        <v>0</v>
      </c>
      <c r="P193" s="89">
        <f t="shared" si="6"/>
        <v>3114450</v>
      </c>
      <c r="Q193" s="91" t="s">
        <v>339</v>
      </c>
      <c r="R193" s="40" t="s">
        <v>606</v>
      </c>
      <c r="S193" s="43" t="s">
        <v>592</v>
      </c>
      <c r="T193" s="42" t="s">
        <v>328</v>
      </c>
      <c r="U193" s="31" t="s">
        <v>586</v>
      </c>
    </row>
    <row r="194" spans="1:21" ht="16.5" customHeight="1">
      <c r="A194" s="3" t="s">
        <v>230</v>
      </c>
      <c r="B194" s="87" t="s">
        <v>479</v>
      </c>
      <c r="C194" s="99">
        <v>1917</v>
      </c>
      <c r="D194" s="85" t="s">
        <v>99</v>
      </c>
      <c r="E194" s="2" t="s">
        <v>594</v>
      </c>
      <c r="F194" s="90">
        <v>2</v>
      </c>
      <c r="G194" s="90">
        <v>2</v>
      </c>
      <c r="H194" s="88">
        <v>841</v>
      </c>
      <c r="I194" s="89">
        <v>772.02</v>
      </c>
      <c r="J194" s="89">
        <f>I194-174.05</f>
        <v>597.97</v>
      </c>
      <c r="K194" s="90">
        <v>35</v>
      </c>
      <c r="L194" s="89">
        <f>'Таблица 2, 3 виды ремонта'!C189</f>
        <v>2217950</v>
      </c>
      <c r="M194" s="1">
        <v>0</v>
      </c>
      <c r="N194" s="1">
        <v>0</v>
      </c>
      <c r="O194" s="1">
        <v>0</v>
      </c>
      <c r="P194" s="89">
        <f t="shared" si="6"/>
        <v>2217950</v>
      </c>
      <c r="Q194" s="91" t="s">
        <v>339</v>
      </c>
      <c r="R194" s="40" t="s">
        <v>606</v>
      </c>
      <c r="S194" s="43" t="s">
        <v>592</v>
      </c>
      <c r="T194" s="42" t="s">
        <v>320</v>
      </c>
      <c r="U194" s="31" t="s">
        <v>586</v>
      </c>
    </row>
    <row r="195" spans="1:21" ht="16.5" customHeight="1">
      <c r="A195" s="3" t="s">
        <v>231</v>
      </c>
      <c r="B195" s="87" t="s">
        <v>480</v>
      </c>
      <c r="C195" s="100">
        <v>1956</v>
      </c>
      <c r="D195" s="85" t="s">
        <v>99</v>
      </c>
      <c r="E195" s="2" t="s">
        <v>594</v>
      </c>
      <c r="F195" s="90">
        <v>5</v>
      </c>
      <c r="G195" s="90">
        <v>2</v>
      </c>
      <c r="H195" s="88">
        <v>4075.5</v>
      </c>
      <c r="I195" s="89">
        <v>2540.4</v>
      </c>
      <c r="J195" s="89">
        <f>I195-0</f>
        <v>2540.4</v>
      </c>
      <c r="K195" s="90">
        <v>82</v>
      </c>
      <c r="L195" s="89">
        <f>'Таблица 2, 3 виды ремонта'!C190</f>
        <v>3436400</v>
      </c>
      <c r="M195" s="1">
        <v>0</v>
      </c>
      <c r="N195" s="1">
        <v>0</v>
      </c>
      <c r="O195" s="1">
        <v>0</v>
      </c>
      <c r="P195" s="89">
        <f t="shared" si="6"/>
        <v>3436400</v>
      </c>
      <c r="Q195" s="91" t="s">
        <v>339</v>
      </c>
      <c r="R195" s="40"/>
      <c r="S195" s="43" t="s">
        <v>592</v>
      </c>
      <c r="T195" s="42" t="s">
        <v>328</v>
      </c>
      <c r="U195" s="31" t="s">
        <v>586</v>
      </c>
    </row>
    <row r="196" spans="1:21" ht="16.5" customHeight="1">
      <c r="A196" s="3" t="s">
        <v>232</v>
      </c>
      <c r="B196" s="87" t="s">
        <v>481</v>
      </c>
      <c r="C196" s="99">
        <v>1917</v>
      </c>
      <c r="D196" s="85" t="s">
        <v>99</v>
      </c>
      <c r="E196" s="2" t="s">
        <v>594</v>
      </c>
      <c r="F196" s="85">
        <v>2</v>
      </c>
      <c r="G196" s="85">
        <v>2</v>
      </c>
      <c r="H196" s="88">
        <v>647</v>
      </c>
      <c r="I196" s="89">
        <v>580.77</v>
      </c>
      <c r="J196" s="1">
        <f>I196-353.47</f>
        <v>227.29999999999995</v>
      </c>
      <c r="K196" s="90">
        <v>36</v>
      </c>
      <c r="L196" s="89">
        <f>'Таблица 2, 3 виды ремонта'!C191</f>
        <v>1908700</v>
      </c>
      <c r="M196" s="1">
        <v>0</v>
      </c>
      <c r="N196" s="1">
        <v>0</v>
      </c>
      <c r="O196" s="1">
        <v>0</v>
      </c>
      <c r="P196" s="89">
        <f t="shared" si="6"/>
        <v>1908700</v>
      </c>
      <c r="Q196" s="91" t="s">
        <v>339</v>
      </c>
      <c r="R196" s="40"/>
      <c r="S196" s="43" t="s">
        <v>592</v>
      </c>
      <c r="T196" s="42" t="s">
        <v>328</v>
      </c>
      <c r="U196" s="31" t="s">
        <v>586</v>
      </c>
    </row>
    <row r="197" spans="1:21" ht="16.5" customHeight="1">
      <c r="A197" s="3" t="s">
        <v>233</v>
      </c>
      <c r="B197" s="87" t="s">
        <v>482</v>
      </c>
      <c r="C197" s="99">
        <v>1917</v>
      </c>
      <c r="D197" s="85" t="s">
        <v>99</v>
      </c>
      <c r="E197" s="2" t="s">
        <v>594</v>
      </c>
      <c r="F197" s="90">
        <v>2</v>
      </c>
      <c r="G197" s="90">
        <v>2</v>
      </c>
      <c r="H197" s="88">
        <v>658</v>
      </c>
      <c r="I197" s="89">
        <v>573.85</v>
      </c>
      <c r="J197" s="89">
        <f>I197-51.9</f>
        <v>521.95</v>
      </c>
      <c r="K197" s="90">
        <v>19</v>
      </c>
      <c r="L197" s="89">
        <f>'Таблица 2, 3 виды ремонта'!C192</f>
        <v>2230600</v>
      </c>
      <c r="M197" s="1">
        <v>0</v>
      </c>
      <c r="N197" s="1">
        <v>0</v>
      </c>
      <c r="O197" s="1">
        <v>0</v>
      </c>
      <c r="P197" s="89">
        <f t="shared" si="6"/>
        <v>2230600</v>
      </c>
      <c r="Q197" s="91" t="s">
        <v>339</v>
      </c>
      <c r="R197" s="40" t="s">
        <v>606</v>
      </c>
      <c r="S197" s="44" t="s">
        <v>592</v>
      </c>
      <c r="T197" s="29" t="s">
        <v>320</v>
      </c>
      <c r="U197" s="31" t="s">
        <v>586</v>
      </c>
    </row>
    <row r="198" spans="1:21" ht="16.5" customHeight="1">
      <c r="A198" s="3" t="s">
        <v>234</v>
      </c>
      <c r="B198" s="87" t="s">
        <v>483</v>
      </c>
      <c r="C198" s="97">
        <v>1917</v>
      </c>
      <c r="D198" s="85" t="s">
        <v>99</v>
      </c>
      <c r="E198" s="2" t="s">
        <v>594</v>
      </c>
      <c r="F198" s="90">
        <v>2</v>
      </c>
      <c r="G198" s="90">
        <v>1</v>
      </c>
      <c r="H198" s="88">
        <v>1560</v>
      </c>
      <c r="I198" s="89">
        <v>1393</v>
      </c>
      <c r="J198" s="89">
        <f>I198-0</f>
        <v>1393</v>
      </c>
      <c r="K198" s="90">
        <v>49</v>
      </c>
      <c r="L198" s="89">
        <f>'Таблица 2, 3 виды ремонта'!C193</f>
        <v>3681050</v>
      </c>
      <c r="M198" s="1">
        <v>0</v>
      </c>
      <c r="N198" s="1">
        <v>0</v>
      </c>
      <c r="O198" s="1">
        <v>0</v>
      </c>
      <c r="P198" s="89">
        <f t="shared" si="6"/>
        <v>3681050</v>
      </c>
      <c r="Q198" s="91" t="s">
        <v>339</v>
      </c>
      <c r="R198" s="40" t="s">
        <v>606</v>
      </c>
      <c r="S198" s="44" t="s">
        <v>592</v>
      </c>
      <c r="T198" s="29" t="s">
        <v>328</v>
      </c>
      <c r="U198" s="31" t="s">
        <v>586</v>
      </c>
    </row>
    <row r="199" spans="1:21" ht="16.5" customHeight="1">
      <c r="A199" s="3" t="s">
        <v>305</v>
      </c>
      <c r="B199" s="87" t="s">
        <v>484</v>
      </c>
      <c r="C199" s="99">
        <v>1917</v>
      </c>
      <c r="D199" s="85" t="s">
        <v>99</v>
      </c>
      <c r="E199" s="2" t="s">
        <v>594</v>
      </c>
      <c r="F199" s="90">
        <v>2</v>
      </c>
      <c r="G199" s="90">
        <v>2</v>
      </c>
      <c r="H199" s="88">
        <v>724</v>
      </c>
      <c r="I199" s="89">
        <v>673.39</v>
      </c>
      <c r="J199" s="89">
        <f>I199-74.8</f>
        <v>598.59</v>
      </c>
      <c r="K199" s="90">
        <v>25</v>
      </c>
      <c r="L199" s="89">
        <f>'Таблица 2, 3 виды ремонта'!C194</f>
        <v>1805300</v>
      </c>
      <c r="M199" s="1">
        <v>0</v>
      </c>
      <c r="N199" s="1">
        <v>0</v>
      </c>
      <c r="O199" s="1">
        <v>0</v>
      </c>
      <c r="P199" s="89">
        <f t="shared" si="6"/>
        <v>1805300</v>
      </c>
      <c r="Q199" s="91" t="s">
        <v>339</v>
      </c>
      <c r="R199" s="45"/>
      <c r="S199" s="44" t="s">
        <v>592</v>
      </c>
      <c r="T199" s="29" t="s">
        <v>320</v>
      </c>
      <c r="U199" s="31" t="s">
        <v>586</v>
      </c>
    </row>
    <row r="200" spans="1:21" ht="16.5" customHeight="1">
      <c r="A200" s="3" t="s">
        <v>235</v>
      </c>
      <c r="B200" s="87" t="s">
        <v>485</v>
      </c>
      <c r="C200" s="99">
        <v>1917</v>
      </c>
      <c r="D200" s="85" t="s">
        <v>99</v>
      </c>
      <c r="E200" s="2" t="s">
        <v>594</v>
      </c>
      <c r="F200" s="85">
        <v>2</v>
      </c>
      <c r="G200" s="85">
        <v>2</v>
      </c>
      <c r="H200" s="88">
        <v>751</v>
      </c>
      <c r="I200" s="89">
        <v>622.84</v>
      </c>
      <c r="J200" s="1">
        <f>I200-48.88</f>
        <v>573.96</v>
      </c>
      <c r="K200" s="90">
        <v>11</v>
      </c>
      <c r="L200" s="89">
        <f>'Таблица 2, 3 виды ремонта'!C195</f>
        <v>1905000</v>
      </c>
      <c r="M200" s="1">
        <v>0</v>
      </c>
      <c r="N200" s="1">
        <v>0</v>
      </c>
      <c r="O200" s="1">
        <v>0</v>
      </c>
      <c r="P200" s="89">
        <f t="shared" si="6"/>
        <v>1905000</v>
      </c>
      <c r="Q200" s="91" t="s">
        <v>339</v>
      </c>
      <c r="R200" s="45" t="s">
        <v>606</v>
      </c>
      <c r="S200" s="44" t="s">
        <v>592</v>
      </c>
      <c r="T200" s="29" t="s">
        <v>328</v>
      </c>
      <c r="U200" s="31" t="s">
        <v>586</v>
      </c>
    </row>
    <row r="201" spans="1:21" ht="16.5" customHeight="1">
      <c r="A201" s="3" t="s">
        <v>236</v>
      </c>
      <c r="B201" s="87" t="s">
        <v>486</v>
      </c>
      <c r="C201" s="99">
        <v>1917</v>
      </c>
      <c r="D201" s="85" t="s">
        <v>99</v>
      </c>
      <c r="E201" s="2" t="s">
        <v>594</v>
      </c>
      <c r="F201" s="90">
        <v>2</v>
      </c>
      <c r="G201" s="90">
        <v>2</v>
      </c>
      <c r="H201" s="88">
        <v>386</v>
      </c>
      <c r="I201" s="89">
        <v>336.95</v>
      </c>
      <c r="J201" s="89">
        <f>I201-42.6</f>
        <v>294.34999999999997</v>
      </c>
      <c r="K201" s="90">
        <v>11</v>
      </c>
      <c r="L201" s="89">
        <f>'Таблица 2, 3 виды ремонта'!C196</f>
        <v>3353200</v>
      </c>
      <c r="M201" s="1">
        <v>0</v>
      </c>
      <c r="N201" s="1">
        <v>0</v>
      </c>
      <c r="O201" s="1">
        <v>0</v>
      </c>
      <c r="P201" s="89">
        <f t="shared" si="6"/>
        <v>3353200</v>
      </c>
      <c r="Q201" s="91" t="s">
        <v>339</v>
      </c>
      <c r="R201" s="45"/>
      <c r="S201" s="43" t="s">
        <v>592</v>
      </c>
      <c r="T201" s="42" t="s">
        <v>320</v>
      </c>
      <c r="U201" s="31" t="s">
        <v>586</v>
      </c>
    </row>
    <row r="202" spans="1:21" ht="16.5" customHeight="1">
      <c r="A202" s="3" t="s">
        <v>237</v>
      </c>
      <c r="B202" s="87" t="s">
        <v>487</v>
      </c>
      <c r="C202" s="97">
        <v>1917</v>
      </c>
      <c r="D202" s="85" t="s">
        <v>99</v>
      </c>
      <c r="E202" s="90" t="s">
        <v>340</v>
      </c>
      <c r="F202" s="90">
        <v>1</v>
      </c>
      <c r="G202" s="90">
        <v>2</v>
      </c>
      <c r="H202" s="88">
        <v>1027.46</v>
      </c>
      <c r="I202" s="89">
        <v>734.4</v>
      </c>
      <c r="J202" s="89">
        <f>I202-0</f>
        <v>734.4</v>
      </c>
      <c r="K202" s="90">
        <v>43</v>
      </c>
      <c r="L202" s="89">
        <f>'Таблица 2, 3 виды ремонта'!C197</f>
        <v>1905000</v>
      </c>
      <c r="M202" s="1">
        <v>0</v>
      </c>
      <c r="N202" s="1">
        <v>0</v>
      </c>
      <c r="O202" s="1">
        <v>0</v>
      </c>
      <c r="P202" s="89">
        <f t="shared" si="6"/>
        <v>1905000</v>
      </c>
      <c r="Q202" s="91" t="s">
        <v>339</v>
      </c>
      <c r="R202" s="45" t="s">
        <v>606</v>
      </c>
      <c r="S202" s="43" t="s">
        <v>592</v>
      </c>
      <c r="T202" s="42" t="s">
        <v>328</v>
      </c>
      <c r="U202" s="31" t="s">
        <v>586</v>
      </c>
    </row>
    <row r="203" spans="1:21" ht="16.5" customHeight="1">
      <c r="A203" s="3" t="s">
        <v>238</v>
      </c>
      <c r="B203" s="87" t="s">
        <v>488</v>
      </c>
      <c r="C203" s="97">
        <v>1917</v>
      </c>
      <c r="D203" s="85" t="s">
        <v>99</v>
      </c>
      <c r="E203" s="2" t="s">
        <v>594</v>
      </c>
      <c r="F203" s="90">
        <v>1</v>
      </c>
      <c r="G203" s="90">
        <v>2</v>
      </c>
      <c r="H203" s="88">
        <v>630.5</v>
      </c>
      <c r="I203" s="89">
        <v>238.1</v>
      </c>
      <c r="J203" s="89">
        <f>I203-0</f>
        <v>238.1</v>
      </c>
      <c r="K203" s="90">
        <v>13</v>
      </c>
      <c r="L203" s="89">
        <f>'Таблица 2, 3 виды ремонта'!C198</f>
        <v>2450000</v>
      </c>
      <c r="M203" s="1">
        <v>0</v>
      </c>
      <c r="N203" s="1">
        <v>0</v>
      </c>
      <c r="O203" s="1">
        <v>0</v>
      </c>
      <c r="P203" s="89">
        <f t="shared" si="6"/>
        <v>2450000</v>
      </c>
      <c r="Q203" s="91" t="s">
        <v>339</v>
      </c>
      <c r="R203" s="40"/>
      <c r="S203" s="44" t="s">
        <v>592</v>
      </c>
      <c r="T203" s="29" t="s">
        <v>320</v>
      </c>
      <c r="U203" s="31" t="s">
        <v>586</v>
      </c>
    </row>
    <row r="204" spans="1:21" ht="16.5" customHeight="1">
      <c r="A204" s="3" t="s">
        <v>239</v>
      </c>
      <c r="B204" s="87" t="s">
        <v>489</v>
      </c>
      <c r="C204" s="99">
        <v>1917</v>
      </c>
      <c r="D204" s="85" t="s">
        <v>99</v>
      </c>
      <c r="E204" s="2" t="s">
        <v>594</v>
      </c>
      <c r="F204" s="90">
        <v>2</v>
      </c>
      <c r="G204" s="90">
        <v>2</v>
      </c>
      <c r="H204" s="88">
        <v>1318.76</v>
      </c>
      <c r="I204" s="89">
        <v>1010.86</v>
      </c>
      <c r="J204" s="89">
        <f>I204-188.88</f>
        <v>821.98</v>
      </c>
      <c r="K204" s="90">
        <v>37</v>
      </c>
      <c r="L204" s="89">
        <f>'Таблица 2, 3 виды ремонта'!C199</f>
        <v>4810450</v>
      </c>
      <c r="M204" s="1">
        <v>0</v>
      </c>
      <c r="N204" s="1">
        <v>0</v>
      </c>
      <c r="O204" s="1">
        <v>0</v>
      </c>
      <c r="P204" s="89">
        <f t="shared" si="6"/>
        <v>4810450</v>
      </c>
      <c r="Q204" s="91" t="s">
        <v>339</v>
      </c>
      <c r="R204" s="40" t="s">
        <v>606</v>
      </c>
      <c r="S204" s="44" t="s">
        <v>592</v>
      </c>
      <c r="T204" s="29" t="s">
        <v>320</v>
      </c>
      <c r="U204" s="31" t="s">
        <v>586</v>
      </c>
    </row>
    <row r="205" spans="1:21" ht="16.5" customHeight="1">
      <c r="A205" s="3" t="s">
        <v>240</v>
      </c>
      <c r="B205" s="87" t="s">
        <v>490</v>
      </c>
      <c r="C205" s="2">
        <v>1902</v>
      </c>
      <c r="D205" s="85" t="s">
        <v>99</v>
      </c>
      <c r="E205" s="85" t="s">
        <v>340</v>
      </c>
      <c r="F205" s="85">
        <v>2</v>
      </c>
      <c r="G205" s="85">
        <v>1</v>
      </c>
      <c r="H205" s="88">
        <v>1168.02</v>
      </c>
      <c r="I205" s="89">
        <v>451.82</v>
      </c>
      <c r="J205" s="89">
        <f>I205-27.92</f>
        <v>423.9</v>
      </c>
      <c r="K205" s="90">
        <v>21</v>
      </c>
      <c r="L205" s="89">
        <f>'Таблица 2, 3 виды ремонта'!C200</f>
        <v>2477650</v>
      </c>
      <c r="M205" s="1">
        <v>0</v>
      </c>
      <c r="N205" s="1">
        <v>0</v>
      </c>
      <c r="O205" s="1">
        <v>0</v>
      </c>
      <c r="P205" s="89">
        <f t="shared" si="6"/>
        <v>2477650</v>
      </c>
      <c r="Q205" s="91" t="s">
        <v>339</v>
      </c>
      <c r="R205" s="45"/>
      <c r="S205" s="44" t="s">
        <v>589</v>
      </c>
      <c r="T205" s="29" t="s">
        <v>328</v>
      </c>
      <c r="U205" s="31" t="s">
        <v>586</v>
      </c>
    </row>
    <row r="206" spans="1:21" ht="16.5" customHeight="1">
      <c r="A206" s="3" t="s">
        <v>241</v>
      </c>
      <c r="B206" s="87" t="s">
        <v>491</v>
      </c>
      <c r="C206" s="2" t="s">
        <v>336</v>
      </c>
      <c r="D206" s="85" t="s">
        <v>99</v>
      </c>
      <c r="E206" s="2" t="s">
        <v>594</v>
      </c>
      <c r="F206" s="90">
        <v>2</v>
      </c>
      <c r="G206" s="90">
        <v>1</v>
      </c>
      <c r="H206" s="88">
        <v>760</v>
      </c>
      <c r="I206" s="89">
        <v>401.7</v>
      </c>
      <c r="J206" s="89">
        <f>I206-0</f>
        <v>401.7</v>
      </c>
      <c r="K206" s="90">
        <v>14</v>
      </c>
      <c r="L206" s="89">
        <f>'Таблица 2, 3 виды ремонта'!C201</f>
        <v>4042750</v>
      </c>
      <c r="M206" s="1">
        <v>0</v>
      </c>
      <c r="N206" s="1">
        <v>0</v>
      </c>
      <c r="O206" s="1">
        <v>0</v>
      </c>
      <c r="P206" s="89">
        <f t="shared" si="6"/>
        <v>4042750</v>
      </c>
      <c r="Q206" s="91" t="s">
        <v>339</v>
      </c>
      <c r="R206" s="45" t="s">
        <v>606</v>
      </c>
      <c r="S206" s="43" t="s">
        <v>589</v>
      </c>
      <c r="T206" s="42" t="s">
        <v>328</v>
      </c>
      <c r="U206" s="31" t="s">
        <v>586</v>
      </c>
    </row>
    <row r="207" spans="1:21" ht="16.5" customHeight="1">
      <c r="A207" s="3" t="s">
        <v>242</v>
      </c>
      <c r="B207" s="87" t="s">
        <v>492</v>
      </c>
      <c r="C207" s="2" t="s">
        <v>336</v>
      </c>
      <c r="D207" s="85" t="s">
        <v>99</v>
      </c>
      <c r="E207" s="2" t="s">
        <v>594</v>
      </c>
      <c r="F207" s="90">
        <v>3</v>
      </c>
      <c r="G207" s="90">
        <v>1</v>
      </c>
      <c r="H207" s="88">
        <v>1774.09</v>
      </c>
      <c r="I207" s="89">
        <v>868.7</v>
      </c>
      <c r="J207" s="89">
        <f>I207-80.6</f>
        <v>788.1</v>
      </c>
      <c r="K207" s="90">
        <v>36</v>
      </c>
      <c r="L207" s="89">
        <f>'Таблица 2, 3 виды ремонта'!C202</f>
        <v>3514900</v>
      </c>
      <c r="M207" s="1">
        <v>0</v>
      </c>
      <c r="N207" s="1">
        <v>0</v>
      </c>
      <c r="O207" s="1">
        <v>0</v>
      </c>
      <c r="P207" s="89">
        <f t="shared" si="6"/>
        <v>3514900</v>
      </c>
      <c r="Q207" s="91" t="s">
        <v>339</v>
      </c>
      <c r="R207" s="46" t="s">
        <v>606</v>
      </c>
      <c r="S207" s="43" t="s">
        <v>589</v>
      </c>
      <c r="T207" s="42" t="s">
        <v>328</v>
      </c>
      <c r="U207" s="31" t="s">
        <v>586</v>
      </c>
    </row>
    <row r="208" spans="1:21" ht="16.5" customHeight="1">
      <c r="A208" s="3" t="s">
        <v>243</v>
      </c>
      <c r="B208" s="87" t="s">
        <v>493</v>
      </c>
      <c r="C208" s="2" t="s">
        <v>336</v>
      </c>
      <c r="D208" s="85" t="s">
        <v>99</v>
      </c>
      <c r="E208" s="2" t="s">
        <v>594</v>
      </c>
      <c r="F208" s="90">
        <v>3</v>
      </c>
      <c r="G208" s="90">
        <v>1</v>
      </c>
      <c r="H208" s="88">
        <v>647.37</v>
      </c>
      <c r="I208" s="89">
        <v>108.87</v>
      </c>
      <c r="J208" s="89">
        <f>I208-42.57</f>
        <v>66.30000000000001</v>
      </c>
      <c r="K208" s="90">
        <v>9</v>
      </c>
      <c r="L208" s="89">
        <f>'Таблица 2, 3 виды ремонта'!C203</f>
        <v>1100000</v>
      </c>
      <c r="M208" s="1">
        <v>0</v>
      </c>
      <c r="N208" s="1">
        <v>0</v>
      </c>
      <c r="O208" s="1">
        <v>0</v>
      </c>
      <c r="P208" s="89">
        <f t="shared" si="6"/>
        <v>1100000</v>
      </c>
      <c r="Q208" s="91" t="s">
        <v>339</v>
      </c>
      <c r="R208" s="40" t="s">
        <v>606</v>
      </c>
      <c r="S208" s="43" t="s">
        <v>589</v>
      </c>
      <c r="T208" s="42" t="s">
        <v>323</v>
      </c>
      <c r="U208" s="31" t="s">
        <v>586</v>
      </c>
    </row>
    <row r="209" spans="1:21" ht="16.5" customHeight="1">
      <c r="A209" s="3" t="s">
        <v>306</v>
      </c>
      <c r="B209" s="87" t="s">
        <v>494</v>
      </c>
      <c r="C209" s="2">
        <v>1890</v>
      </c>
      <c r="D209" s="85" t="s">
        <v>99</v>
      </c>
      <c r="E209" s="2" t="s">
        <v>594</v>
      </c>
      <c r="F209" s="90">
        <v>2</v>
      </c>
      <c r="G209" s="90">
        <v>1</v>
      </c>
      <c r="H209" s="88">
        <v>988.49</v>
      </c>
      <c r="I209" s="89">
        <v>642.89</v>
      </c>
      <c r="J209" s="89">
        <f>I209-35</f>
        <v>607.89</v>
      </c>
      <c r="K209" s="90">
        <v>24</v>
      </c>
      <c r="L209" s="89">
        <f>'Таблица 2, 3 виды ремонта'!C204</f>
        <v>1277300</v>
      </c>
      <c r="M209" s="1">
        <v>0</v>
      </c>
      <c r="N209" s="1">
        <v>0</v>
      </c>
      <c r="O209" s="1">
        <v>0</v>
      </c>
      <c r="P209" s="89">
        <f t="shared" si="6"/>
        <v>1277300</v>
      </c>
      <c r="Q209" s="91" t="s">
        <v>339</v>
      </c>
      <c r="R209" s="40" t="s">
        <v>606</v>
      </c>
      <c r="S209" s="44" t="s">
        <v>589</v>
      </c>
      <c r="T209" s="29" t="s">
        <v>328</v>
      </c>
      <c r="U209" s="31" t="s">
        <v>586</v>
      </c>
    </row>
    <row r="210" spans="1:21" ht="16.5" customHeight="1">
      <c r="A210" s="3" t="s">
        <v>244</v>
      </c>
      <c r="B210" s="87" t="s">
        <v>495</v>
      </c>
      <c r="C210" s="2" t="s">
        <v>337</v>
      </c>
      <c r="D210" s="85" t="s">
        <v>99</v>
      </c>
      <c r="E210" s="2" t="s">
        <v>594</v>
      </c>
      <c r="F210" s="90">
        <v>3</v>
      </c>
      <c r="G210" s="90">
        <v>1</v>
      </c>
      <c r="H210" s="88">
        <v>2002.9</v>
      </c>
      <c r="I210" s="89">
        <v>339.9</v>
      </c>
      <c r="J210" s="89">
        <f>I210-0</f>
        <v>339.9</v>
      </c>
      <c r="K210" s="90">
        <v>13</v>
      </c>
      <c r="L210" s="89">
        <f>'Таблица 2, 3 виды ремонта'!C205</f>
        <v>2700000</v>
      </c>
      <c r="M210" s="1">
        <v>0</v>
      </c>
      <c r="N210" s="1">
        <v>0</v>
      </c>
      <c r="O210" s="1">
        <v>0</v>
      </c>
      <c r="P210" s="89">
        <f t="shared" si="6"/>
        <v>2700000</v>
      </c>
      <c r="Q210" s="91" t="s">
        <v>339</v>
      </c>
      <c r="R210" s="40" t="s">
        <v>606</v>
      </c>
      <c r="S210" s="44" t="s">
        <v>589</v>
      </c>
      <c r="T210" s="29" t="s">
        <v>328</v>
      </c>
      <c r="U210" s="31" t="s">
        <v>586</v>
      </c>
    </row>
    <row r="211" spans="1:21" ht="16.5" customHeight="1">
      <c r="A211" s="3" t="s">
        <v>245</v>
      </c>
      <c r="B211" s="87" t="s">
        <v>496</v>
      </c>
      <c r="C211" s="2" t="s">
        <v>336</v>
      </c>
      <c r="D211" s="85" t="s">
        <v>99</v>
      </c>
      <c r="E211" s="2" t="s">
        <v>594</v>
      </c>
      <c r="F211" s="90">
        <v>2</v>
      </c>
      <c r="G211" s="90">
        <v>1</v>
      </c>
      <c r="H211" s="88">
        <v>960.09</v>
      </c>
      <c r="I211" s="89">
        <v>731.89</v>
      </c>
      <c r="J211" s="89">
        <f>I211-53.79</f>
        <v>678.1</v>
      </c>
      <c r="K211" s="90">
        <v>22</v>
      </c>
      <c r="L211" s="89">
        <f>'Таблица 2, 3 виды ремонта'!C206</f>
        <v>1208750</v>
      </c>
      <c r="M211" s="1">
        <v>0</v>
      </c>
      <c r="N211" s="1">
        <v>0</v>
      </c>
      <c r="O211" s="1">
        <v>0</v>
      </c>
      <c r="P211" s="89">
        <f t="shared" si="6"/>
        <v>1208750</v>
      </c>
      <c r="Q211" s="91" t="s">
        <v>339</v>
      </c>
      <c r="R211" s="45" t="s">
        <v>606</v>
      </c>
      <c r="S211" s="44" t="s">
        <v>589</v>
      </c>
      <c r="T211" s="29" t="s">
        <v>328</v>
      </c>
      <c r="U211" s="31" t="s">
        <v>586</v>
      </c>
    </row>
    <row r="212" spans="1:21" ht="16.5" customHeight="1">
      <c r="A212" s="3" t="s">
        <v>246</v>
      </c>
      <c r="B212" s="87" t="s">
        <v>566</v>
      </c>
      <c r="C212" s="90">
        <v>1978</v>
      </c>
      <c r="D212" s="85" t="s">
        <v>99</v>
      </c>
      <c r="E212" s="2" t="s">
        <v>594</v>
      </c>
      <c r="F212" s="90">
        <v>6</v>
      </c>
      <c r="G212" s="90">
        <v>4</v>
      </c>
      <c r="H212" s="89">
        <v>5308.3</v>
      </c>
      <c r="I212" s="89">
        <v>3336.4</v>
      </c>
      <c r="J212" s="89">
        <f>I212-101.3</f>
        <v>3235.1</v>
      </c>
      <c r="K212" s="92">
        <v>149</v>
      </c>
      <c r="L212" s="89">
        <f>'Таблица 2, 3 виды ремонта'!C207</f>
        <v>1198000</v>
      </c>
      <c r="M212" s="1">
        <v>0</v>
      </c>
      <c r="N212" s="1">
        <v>0</v>
      </c>
      <c r="O212" s="1">
        <v>0</v>
      </c>
      <c r="P212" s="89">
        <f t="shared" si="6"/>
        <v>1198000</v>
      </c>
      <c r="Q212" s="91" t="s">
        <v>339</v>
      </c>
      <c r="R212" s="46"/>
      <c r="S212" s="43" t="s">
        <v>585</v>
      </c>
      <c r="T212" s="42" t="s">
        <v>593</v>
      </c>
      <c r="U212" s="31" t="s">
        <v>586</v>
      </c>
    </row>
    <row r="213" spans="1:21" ht="16.5" customHeight="1">
      <c r="A213" s="3" t="s">
        <v>247</v>
      </c>
      <c r="B213" s="87" t="s">
        <v>498</v>
      </c>
      <c r="C213" s="2">
        <v>1970</v>
      </c>
      <c r="D213" s="85" t="s">
        <v>99</v>
      </c>
      <c r="E213" s="2" t="s">
        <v>594</v>
      </c>
      <c r="F213" s="90">
        <v>5</v>
      </c>
      <c r="G213" s="90">
        <v>6</v>
      </c>
      <c r="H213" s="88">
        <v>4591.9</v>
      </c>
      <c r="I213" s="89">
        <v>3075.5</v>
      </c>
      <c r="J213" s="89">
        <f>I213-0</f>
        <v>3075.5</v>
      </c>
      <c r="K213" s="90">
        <v>215</v>
      </c>
      <c r="L213" s="89">
        <f>'Таблица 2, 3 виды ремонта'!C208</f>
        <v>2577520</v>
      </c>
      <c r="M213" s="1">
        <v>0</v>
      </c>
      <c r="N213" s="1">
        <v>0</v>
      </c>
      <c r="O213" s="1">
        <v>0</v>
      </c>
      <c r="P213" s="89">
        <f t="shared" si="6"/>
        <v>2577520</v>
      </c>
      <c r="Q213" s="91" t="s">
        <v>339</v>
      </c>
      <c r="R213" s="40"/>
      <c r="S213" s="39" t="s">
        <v>590</v>
      </c>
      <c r="T213" s="29" t="s">
        <v>318</v>
      </c>
      <c r="U213" s="30" t="s">
        <v>586</v>
      </c>
    </row>
    <row r="214" spans="1:21" ht="16.5" customHeight="1">
      <c r="A214" s="3" t="s">
        <v>248</v>
      </c>
      <c r="B214" s="87" t="s">
        <v>499</v>
      </c>
      <c r="C214" s="2">
        <v>1959</v>
      </c>
      <c r="D214" s="85" t="s">
        <v>99</v>
      </c>
      <c r="E214" s="2" t="s">
        <v>594</v>
      </c>
      <c r="F214" s="85">
        <v>3</v>
      </c>
      <c r="G214" s="85">
        <v>3</v>
      </c>
      <c r="H214" s="88">
        <v>1631.3</v>
      </c>
      <c r="I214" s="89">
        <v>1463.6</v>
      </c>
      <c r="J214" s="1">
        <f>I214-285.6</f>
        <v>1178</v>
      </c>
      <c r="K214" s="90">
        <v>65</v>
      </c>
      <c r="L214" s="89">
        <f>'Таблица 2, 3 виды ремонта'!C209</f>
        <v>1994400</v>
      </c>
      <c r="M214" s="1">
        <v>0</v>
      </c>
      <c r="N214" s="1">
        <v>0</v>
      </c>
      <c r="O214" s="1">
        <v>0</v>
      </c>
      <c r="P214" s="89">
        <f t="shared" si="6"/>
        <v>1994400</v>
      </c>
      <c r="Q214" s="91" t="s">
        <v>339</v>
      </c>
      <c r="R214" s="47" t="s">
        <v>606</v>
      </c>
      <c r="S214" s="41" t="s">
        <v>590</v>
      </c>
      <c r="T214" s="42" t="s">
        <v>329</v>
      </c>
      <c r="U214" s="30" t="s">
        <v>586</v>
      </c>
    </row>
    <row r="215" spans="1:21" ht="16.5" customHeight="1">
      <c r="A215" s="3" t="s">
        <v>249</v>
      </c>
      <c r="B215" s="87" t="s">
        <v>500</v>
      </c>
      <c r="C215" s="2">
        <v>1966</v>
      </c>
      <c r="D215" s="85" t="s">
        <v>99</v>
      </c>
      <c r="E215" s="2" t="s">
        <v>594</v>
      </c>
      <c r="F215" s="85">
        <v>5</v>
      </c>
      <c r="G215" s="85">
        <v>11</v>
      </c>
      <c r="H215" s="88">
        <v>9223.2</v>
      </c>
      <c r="I215" s="89">
        <v>5710.4</v>
      </c>
      <c r="J215" s="1">
        <f>I215-0</f>
        <v>5710.4</v>
      </c>
      <c r="K215" s="90">
        <v>425</v>
      </c>
      <c r="L215" s="89">
        <f>'Таблица 2, 3 виды ремонта'!C210</f>
        <v>6114695</v>
      </c>
      <c r="M215" s="1">
        <v>0</v>
      </c>
      <c r="N215" s="1">
        <v>0</v>
      </c>
      <c r="O215" s="1">
        <v>0</v>
      </c>
      <c r="P215" s="89">
        <f t="shared" si="6"/>
        <v>6114695</v>
      </c>
      <c r="Q215" s="91" t="s">
        <v>339</v>
      </c>
      <c r="R215" s="46" t="s">
        <v>606</v>
      </c>
      <c r="S215" s="48" t="s">
        <v>596</v>
      </c>
      <c r="T215" s="29" t="s">
        <v>330</v>
      </c>
      <c r="U215" s="30" t="s">
        <v>586</v>
      </c>
    </row>
    <row r="216" spans="1:21" ht="16.5" customHeight="1">
      <c r="A216" s="3" t="s">
        <v>250</v>
      </c>
      <c r="B216" s="87" t="s">
        <v>501</v>
      </c>
      <c r="C216" s="2">
        <v>1978</v>
      </c>
      <c r="D216" s="85" t="s">
        <v>99</v>
      </c>
      <c r="E216" s="2" t="s">
        <v>594</v>
      </c>
      <c r="F216" s="90">
        <v>5</v>
      </c>
      <c r="G216" s="90">
        <v>2</v>
      </c>
      <c r="H216" s="88">
        <v>1749.7</v>
      </c>
      <c r="I216" s="89">
        <v>1340.5</v>
      </c>
      <c r="J216" s="89">
        <f>I216-113</f>
        <v>1227.5</v>
      </c>
      <c r="K216" s="90">
        <v>67</v>
      </c>
      <c r="L216" s="89">
        <f>'Таблица 2, 3 виды ремонта'!C211</f>
        <v>1285140</v>
      </c>
      <c r="M216" s="1">
        <v>0</v>
      </c>
      <c r="N216" s="1">
        <v>0</v>
      </c>
      <c r="O216" s="1">
        <v>0</v>
      </c>
      <c r="P216" s="89">
        <f t="shared" si="6"/>
        <v>1285140</v>
      </c>
      <c r="Q216" s="91" t="s">
        <v>339</v>
      </c>
      <c r="R216" s="46"/>
      <c r="S216" s="39" t="s">
        <v>590</v>
      </c>
      <c r="T216" s="29" t="s">
        <v>318</v>
      </c>
      <c r="U216" s="30" t="s">
        <v>586</v>
      </c>
    </row>
    <row r="217" spans="1:21" ht="16.5" customHeight="1">
      <c r="A217" s="3" t="s">
        <v>251</v>
      </c>
      <c r="B217" s="87" t="s">
        <v>502</v>
      </c>
      <c r="C217" s="2" t="s">
        <v>313</v>
      </c>
      <c r="D217" s="85" t="s">
        <v>99</v>
      </c>
      <c r="E217" s="2" t="s">
        <v>594</v>
      </c>
      <c r="F217" s="85">
        <v>2</v>
      </c>
      <c r="G217" s="85">
        <v>2</v>
      </c>
      <c r="H217" s="88">
        <v>685.7</v>
      </c>
      <c r="I217" s="89">
        <v>556.7</v>
      </c>
      <c r="J217" s="1">
        <f>I217-0</f>
        <v>556.7</v>
      </c>
      <c r="K217" s="90">
        <v>32</v>
      </c>
      <c r="L217" s="89">
        <f>'Таблица 2, 3 виды ремонта'!C212</f>
        <v>300000</v>
      </c>
      <c r="M217" s="1">
        <v>0</v>
      </c>
      <c r="N217" s="1">
        <v>0</v>
      </c>
      <c r="O217" s="1">
        <v>0</v>
      </c>
      <c r="P217" s="89">
        <f aca="true" t="shared" si="7" ref="P217:P234">L217</f>
        <v>300000</v>
      </c>
      <c r="Q217" s="91" t="s">
        <v>339</v>
      </c>
      <c r="R217" s="47"/>
      <c r="S217" s="43" t="s">
        <v>590</v>
      </c>
      <c r="T217" s="42" t="s">
        <v>326</v>
      </c>
      <c r="U217" s="31" t="s">
        <v>591</v>
      </c>
    </row>
    <row r="218" spans="1:21" ht="16.5" customHeight="1">
      <c r="A218" s="3" t="s">
        <v>252</v>
      </c>
      <c r="B218" s="87" t="s">
        <v>503</v>
      </c>
      <c r="C218" s="2" t="s">
        <v>313</v>
      </c>
      <c r="D218" s="85" t="s">
        <v>99</v>
      </c>
      <c r="E218" s="2" t="s">
        <v>594</v>
      </c>
      <c r="F218" s="90">
        <v>2</v>
      </c>
      <c r="G218" s="90">
        <v>2</v>
      </c>
      <c r="H218" s="88">
        <v>730.35</v>
      </c>
      <c r="I218" s="89">
        <v>544.2</v>
      </c>
      <c r="J218" s="89">
        <f>I218-294.75</f>
        <v>249.45000000000005</v>
      </c>
      <c r="K218" s="90">
        <v>39</v>
      </c>
      <c r="L218" s="89">
        <f>'Таблица 2, 3 виды ремонта'!C213</f>
        <v>300000</v>
      </c>
      <c r="M218" s="1">
        <v>0</v>
      </c>
      <c r="N218" s="1">
        <v>0</v>
      </c>
      <c r="O218" s="1">
        <v>0</v>
      </c>
      <c r="P218" s="89">
        <f t="shared" si="7"/>
        <v>300000</v>
      </c>
      <c r="Q218" s="91" t="s">
        <v>339</v>
      </c>
      <c r="R218" s="40"/>
      <c r="S218" s="44" t="s">
        <v>589</v>
      </c>
      <c r="T218" s="29" t="s">
        <v>611</v>
      </c>
      <c r="U218" s="31" t="s">
        <v>586</v>
      </c>
    </row>
    <row r="219" spans="1:21" ht="16.5" customHeight="1">
      <c r="A219" s="3" t="s">
        <v>307</v>
      </c>
      <c r="B219" s="87" t="s">
        <v>504</v>
      </c>
      <c r="C219" s="2">
        <v>1960</v>
      </c>
      <c r="D219" s="85" t="s">
        <v>99</v>
      </c>
      <c r="E219" s="2" t="s">
        <v>594</v>
      </c>
      <c r="F219" s="90">
        <v>3</v>
      </c>
      <c r="G219" s="90">
        <v>2</v>
      </c>
      <c r="H219" s="88">
        <v>1157.2</v>
      </c>
      <c r="I219" s="89">
        <v>940</v>
      </c>
      <c r="J219" s="89">
        <f>I219-82.4</f>
        <v>857.6</v>
      </c>
      <c r="K219" s="90">
        <v>44</v>
      </c>
      <c r="L219" s="89">
        <f>'Таблица 2, 3 виды ремонта'!C214</f>
        <v>24385</v>
      </c>
      <c r="M219" s="1">
        <v>0</v>
      </c>
      <c r="N219" s="1">
        <v>0</v>
      </c>
      <c r="O219" s="1">
        <v>0</v>
      </c>
      <c r="P219" s="89">
        <f t="shared" si="7"/>
        <v>24385</v>
      </c>
      <c r="Q219" s="91" t="s">
        <v>339</v>
      </c>
      <c r="R219" s="46" t="s">
        <v>606</v>
      </c>
      <c r="S219" s="44" t="s">
        <v>589</v>
      </c>
      <c r="T219" s="29" t="s">
        <v>611</v>
      </c>
      <c r="U219" s="31" t="s">
        <v>586</v>
      </c>
    </row>
    <row r="220" spans="1:21" ht="16.5" customHeight="1">
      <c r="A220" s="3" t="s">
        <v>253</v>
      </c>
      <c r="B220" s="87" t="s">
        <v>505</v>
      </c>
      <c r="C220" s="2">
        <v>1972</v>
      </c>
      <c r="D220" s="85" t="s">
        <v>99</v>
      </c>
      <c r="E220" s="2" t="s">
        <v>594</v>
      </c>
      <c r="F220" s="90">
        <v>6</v>
      </c>
      <c r="G220" s="90">
        <v>4</v>
      </c>
      <c r="H220" s="88">
        <v>4144</v>
      </c>
      <c r="I220" s="89">
        <v>3867.7</v>
      </c>
      <c r="J220" s="89">
        <f>I220-392</f>
        <v>3475.7</v>
      </c>
      <c r="K220" s="90">
        <v>182</v>
      </c>
      <c r="L220" s="89">
        <f>'Таблица 2, 3 виды ремонта'!C215</f>
        <v>689040</v>
      </c>
      <c r="M220" s="1">
        <v>0</v>
      </c>
      <c r="N220" s="1">
        <v>0</v>
      </c>
      <c r="O220" s="1">
        <v>0</v>
      </c>
      <c r="P220" s="89">
        <f t="shared" si="7"/>
        <v>689040</v>
      </c>
      <c r="Q220" s="91" t="s">
        <v>339</v>
      </c>
      <c r="R220" s="40"/>
      <c r="S220" s="44" t="s">
        <v>590</v>
      </c>
      <c r="T220" s="29" t="s">
        <v>326</v>
      </c>
      <c r="U220" s="31" t="s">
        <v>586</v>
      </c>
    </row>
    <row r="221" spans="1:21" ht="16.5" customHeight="1">
      <c r="A221" s="3" t="s">
        <v>254</v>
      </c>
      <c r="B221" s="87" t="s">
        <v>506</v>
      </c>
      <c r="C221" s="2">
        <v>1985</v>
      </c>
      <c r="D221" s="85" t="s">
        <v>99</v>
      </c>
      <c r="E221" s="2" t="s">
        <v>594</v>
      </c>
      <c r="F221" s="90">
        <v>9</v>
      </c>
      <c r="G221" s="90">
        <v>3</v>
      </c>
      <c r="H221" s="88">
        <v>8388.95</v>
      </c>
      <c r="I221" s="89">
        <v>8114.45</v>
      </c>
      <c r="J221" s="89">
        <f>I221-0</f>
        <v>8114.45</v>
      </c>
      <c r="K221" s="90">
        <v>368</v>
      </c>
      <c r="L221" s="89">
        <f>'Таблица 2, 3 виды ремонта'!C216</f>
        <v>2100000</v>
      </c>
      <c r="M221" s="1">
        <v>0</v>
      </c>
      <c r="N221" s="1">
        <v>0</v>
      </c>
      <c r="O221" s="1">
        <v>0</v>
      </c>
      <c r="P221" s="89">
        <f t="shared" si="7"/>
        <v>2100000</v>
      </c>
      <c r="Q221" s="91" t="s">
        <v>339</v>
      </c>
      <c r="R221" s="45"/>
      <c r="S221" s="43" t="s">
        <v>590</v>
      </c>
      <c r="T221" s="42" t="s">
        <v>330</v>
      </c>
      <c r="U221" s="31" t="s">
        <v>586</v>
      </c>
    </row>
    <row r="222" spans="1:21" ht="16.5" customHeight="1">
      <c r="A222" s="3" t="s">
        <v>255</v>
      </c>
      <c r="B222" s="87" t="s">
        <v>510</v>
      </c>
      <c r="C222" s="105">
        <v>1978</v>
      </c>
      <c r="D222" s="85" t="s">
        <v>99</v>
      </c>
      <c r="E222" s="2" t="s">
        <v>595</v>
      </c>
      <c r="F222" s="90">
        <v>9</v>
      </c>
      <c r="G222" s="90">
        <v>6</v>
      </c>
      <c r="H222" s="88">
        <v>16051.1</v>
      </c>
      <c r="I222" s="89">
        <v>16051.1</v>
      </c>
      <c r="J222" s="89">
        <f>I222-2533.4</f>
        <v>13517.7</v>
      </c>
      <c r="K222" s="90">
        <v>791</v>
      </c>
      <c r="L222" s="89">
        <f>'Таблица 2, 3 виды ремонта'!C217</f>
        <v>4480160</v>
      </c>
      <c r="M222" s="1">
        <v>0</v>
      </c>
      <c r="N222" s="1">
        <v>0</v>
      </c>
      <c r="O222" s="1">
        <v>0</v>
      </c>
      <c r="P222" s="89">
        <f t="shared" si="7"/>
        <v>4480160</v>
      </c>
      <c r="Q222" s="91" t="s">
        <v>339</v>
      </c>
      <c r="R222" s="46"/>
      <c r="S222" s="39" t="s">
        <v>590</v>
      </c>
      <c r="T222" s="29" t="s">
        <v>600</v>
      </c>
      <c r="U222" s="30" t="s">
        <v>586</v>
      </c>
    </row>
    <row r="223" spans="1:21" ht="16.5" customHeight="1">
      <c r="A223" s="3" t="s">
        <v>256</v>
      </c>
      <c r="B223" s="87" t="s">
        <v>511</v>
      </c>
      <c r="C223" s="2">
        <v>1979</v>
      </c>
      <c r="D223" s="85" t="s">
        <v>99</v>
      </c>
      <c r="E223" s="2" t="s">
        <v>594</v>
      </c>
      <c r="F223" s="85">
        <v>9</v>
      </c>
      <c r="G223" s="85">
        <v>4</v>
      </c>
      <c r="H223" s="88">
        <v>10404.2</v>
      </c>
      <c r="I223" s="89">
        <v>9492.33</v>
      </c>
      <c r="J223" s="1">
        <f>I223-0</f>
        <v>9492.33</v>
      </c>
      <c r="K223" s="90">
        <v>431</v>
      </c>
      <c r="L223" s="89">
        <f>'Таблица 2, 3 виды ремонта'!C218</f>
        <v>2700000</v>
      </c>
      <c r="M223" s="1">
        <v>0</v>
      </c>
      <c r="N223" s="1">
        <v>0</v>
      </c>
      <c r="O223" s="1">
        <v>0</v>
      </c>
      <c r="P223" s="89">
        <f t="shared" si="7"/>
        <v>2700000</v>
      </c>
      <c r="Q223" s="91" t="s">
        <v>339</v>
      </c>
      <c r="R223" s="46"/>
      <c r="S223" s="44" t="s">
        <v>590</v>
      </c>
      <c r="T223" s="29" t="s">
        <v>319</v>
      </c>
      <c r="U223" s="31" t="s">
        <v>591</v>
      </c>
    </row>
    <row r="224" spans="1:21" ht="16.5" customHeight="1">
      <c r="A224" s="3" t="s">
        <v>257</v>
      </c>
      <c r="B224" s="87" t="s">
        <v>512</v>
      </c>
      <c r="C224" s="97">
        <v>1917</v>
      </c>
      <c r="D224" s="85" t="s">
        <v>99</v>
      </c>
      <c r="E224" s="2" t="s">
        <v>594</v>
      </c>
      <c r="F224" s="85">
        <v>3</v>
      </c>
      <c r="G224" s="85">
        <v>1</v>
      </c>
      <c r="H224" s="88">
        <v>206.7</v>
      </c>
      <c r="I224" s="89">
        <v>176.7</v>
      </c>
      <c r="J224" s="1">
        <f>I224-0</f>
        <v>176.7</v>
      </c>
      <c r="K224" s="90">
        <v>25</v>
      </c>
      <c r="L224" s="89">
        <f>'Таблица 2, 3 виды ремонта'!C219</f>
        <v>650000</v>
      </c>
      <c r="M224" s="1">
        <v>0</v>
      </c>
      <c r="N224" s="1">
        <v>0</v>
      </c>
      <c r="O224" s="1">
        <v>0</v>
      </c>
      <c r="P224" s="89">
        <f t="shared" si="7"/>
        <v>650000</v>
      </c>
      <c r="Q224" s="91" t="s">
        <v>339</v>
      </c>
      <c r="R224" s="47" t="s">
        <v>606</v>
      </c>
      <c r="S224" s="43" t="s">
        <v>585</v>
      </c>
      <c r="T224" s="42" t="s">
        <v>319</v>
      </c>
      <c r="U224" s="31" t="s">
        <v>586</v>
      </c>
    </row>
    <row r="225" spans="1:21" ht="16.5" customHeight="1">
      <c r="A225" s="3" t="s">
        <v>258</v>
      </c>
      <c r="B225" s="87" t="s">
        <v>516</v>
      </c>
      <c r="C225" s="2">
        <v>1965</v>
      </c>
      <c r="D225" s="85" t="s">
        <v>99</v>
      </c>
      <c r="E225" s="2" t="s">
        <v>594</v>
      </c>
      <c r="F225" s="85">
        <v>5</v>
      </c>
      <c r="G225" s="85">
        <v>4</v>
      </c>
      <c r="H225" s="88">
        <v>3222</v>
      </c>
      <c r="I225" s="89">
        <v>2294.05</v>
      </c>
      <c r="J225" s="1">
        <f>I225-395.8</f>
        <v>1898.2500000000002</v>
      </c>
      <c r="K225" s="90">
        <v>104</v>
      </c>
      <c r="L225" s="89">
        <f>'Таблица 2, 3 виды ремонта'!C220</f>
        <v>1650000</v>
      </c>
      <c r="M225" s="1">
        <v>0</v>
      </c>
      <c r="N225" s="1">
        <v>0</v>
      </c>
      <c r="O225" s="1">
        <v>0</v>
      </c>
      <c r="P225" s="89">
        <f t="shared" si="7"/>
        <v>1650000</v>
      </c>
      <c r="Q225" s="91" t="s">
        <v>339</v>
      </c>
      <c r="R225" s="40"/>
      <c r="S225" s="41" t="s">
        <v>590</v>
      </c>
      <c r="T225" s="42" t="s">
        <v>598</v>
      </c>
      <c r="U225" s="30" t="s">
        <v>591</v>
      </c>
    </row>
    <row r="226" spans="1:21" ht="16.5" customHeight="1">
      <c r="A226" s="3" t="s">
        <v>259</v>
      </c>
      <c r="B226" s="87" t="s">
        <v>517</v>
      </c>
      <c r="C226" s="2">
        <v>1985</v>
      </c>
      <c r="D226" s="85" t="s">
        <v>99</v>
      </c>
      <c r="E226" s="2" t="s">
        <v>595</v>
      </c>
      <c r="F226" s="90">
        <v>9</v>
      </c>
      <c r="G226" s="90">
        <v>5</v>
      </c>
      <c r="H226" s="88">
        <v>11898.7</v>
      </c>
      <c r="I226" s="89">
        <v>9694.71</v>
      </c>
      <c r="J226" s="89">
        <f>I226-0</f>
        <v>9694.71</v>
      </c>
      <c r="K226" s="90">
        <v>442</v>
      </c>
      <c r="L226" s="89">
        <f>'Таблица 2, 3 виды ремонта'!C221</f>
        <v>1000000</v>
      </c>
      <c r="M226" s="1">
        <v>0</v>
      </c>
      <c r="N226" s="1">
        <v>0</v>
      </c>
      <c r="O226" s="1">
        <v>0</v>
      </c>
      <c r="P226" s="89">
        <f t="shared" si="7"/>
        <v>1000000</v>
      </c>
      <c r="Q226" s="91" t="s">
        <v>339</v>
      </c>
      <c r="R226" s="47"/>
      <c r="S226" s="43" t="s">
        <v>585</v>
      </c>
      <c r="T226" s="42" t="s">
        <v>325</v>
      </c>
      <c r="U226" s="31" t="s">
        <v>586</v>
      </c>
    </row>
    <row r="227" spans="1:21" ht="16.5" customHeight="1">
      <c r="A227" s="3" t="s">
        <v>260</v>
      </c>
      <c r="B227" s="87" t="s">
        <v>578</v>
      </c>
      <c r="C227" s="2">
        <v>1917</v>
      </c>
      <c r="D227" s="85" t="s">
        <v>99</v>
      </c>
      <c r="E227" s="2" t="s">
        <v>594</v>
      </c>
      <c r="F227" s="90">
        <v>1</v>
      </c>
      <c r="G227" s="90">
        <v>1</v>
      </c>
      <c r="H227" s="88">
        <v>1012</v>
      </c>
      <c r="I227" s="106">
        <v>984.51</v>
      </c>
      <c r="J227" s="89">
        <f>I227-65.3</f>
        <v>919.21</v>
      </c>
      <c r="K227" s="85">
        <v>27</v>
      </c>
      <c r="L227" s="89">
        <f>'Таблица 2, 3 виды ремонта'!C222</f>
        <v>900000</v>
      </c>
      <c r="M227" s="1">
        <v>0</v>
      </c>
      <c r="N227" s="1">
        <v>0</v>
      </c>
      <c r="O227" s="1">
        <v>0</v>
      </c>
      <c r="P227" s="89">
        <f t="shared" si="7"/>
        <v>900000</v>
      </c>
      <c r="Q227" s="91" t="s">
        <v>339</v>
      </c>
      <c r="R227" s="40"/>
      <c r="S227" s="44" t="s">
        <v>592</v>
      </c>
      <c r="T227" s="29" t="s">
        <v>320</v>
      </c>
      <c r="U227" s="31" t="s">
        <v>586</v>
      </c>
    </row>
    <row r="228" spans="1:21" ht="16.5" customHeight="1">
      <c r="A228" s="3" t="s">
        <v>261</v>
      </c>
      <c r="B228" s="87" t="s">
        <v>561</v>
      </c>
      <c r="C228" s="90">
        <v>1952</v>
      </c>
      <c r="D228" s="85" t="s">
        <v>99</v>
      </c>
      <c r="E228" s="2" t="s">
        <v>594</v>
      </c>
      <c r="F228" s="90">
        <v>5</v>
      </c>
      <c r="G228" s="90">
        <v>3</v>
      </c>
      <c r="H228" s="89">
        <v>3617</v>
      </c>
      <c r="I228" s="89">
        <v>1370.8</v>
      </c>
      <c r="J228" s="89">
        <f>I228-0</f>
        <v>1370.8</v>
      </c>
      <c r="K228" s="92">
        <v>50</v>
      </c>
      <c r="L228" s="89">
        <f>'Таблица 2, 3 виды ремонта'!C223</f>
        <v>1549370</v>
      </c>
      <c r="M228" s="1">
        <v>0</v>
      </c>
      <c r="N228" s="1">
        <v>0</v>
      </c>
      <c r="O228" s="1">
        <v>0</v>
      </c>
      <c r="P228" s="89">
        <f t="shared" si="7"/>
        <v>1549370</v>
      </c>
      <c r="Q228" s="91" t="s">
        <v>339</v>
      </c>
      <c r="R228" s="40" t="s">
        <v>606</v>
      </c>
      <c r="S228" s="41" t="s">
        <v>588</v>
      </c>
      <c r="T228" s="42" t="s">
        <v>330</v>
      </c>
      <c r="U228" s="30" t="s">
        <v>586</v>
      </c>
    </row>
    <row r="229" spans="1:21" ht="16.5" customHeight="1">
      <c r="A229" s="3" t="s">
        <v>262</v>
      </c>
      <c r="B229" s="87" t="s">
        <v>562</v>
      </c>
      <c r="C229" s="90">
        <v>1957</v>
      </c>
      <c r="D229" s="85" t="s">
        <v>99</v>
      </c>
      <c r="E229" s="2" t="s">
        <v>594</v>
      </c>
      <c r="F229" s="90">
        <v>5</v>
      </c>
      <c r="G229" s="90">
        <v>2</v>
      </c>
      <c r="H229" s="89">
        <v>1967.28</v>
      </c>
      <c r="I229" s="89">
        <v>1283.28</v>
      </c>
      <c r="J229" s="89">
        <f>I229-55.8</f>
        <v>1227.48</v>
      </c>
      <c r="K229" s="92">
        <v>40</v>
      </c>
      <c r="L229" s="89">
        <f>'Таблица 2, 3 виды ремонта'!C224</f>
        <v>1154085</v>
      </c>
      <c r="M229" s="1">
        <v>0</v>
      </c>
      <c r="N229" s="1">
        <v>0</v>
      </c>
      <c r="O229" s="1">
        <v>0</v>
      </c>
      <c r="P229" s="89">
        <f t="shared" si="7"/>
        <v>1154085</v>
      </c>
      <c r="Q229" s="91" t="s">
        <v>339</v>
      </c>
      <c r="R229" s="40"/>
      <c r="S229" s="49" t="s">
        <v>588</v>
      </c>
      <c r="T229" s="42" t="s">
        <v>323</v>
      </c>
      <c r="U229" s="31" t="s">
        <v>586</v>
      </c>
    </row>
    <row r="230" spans="1:21" ht="16.5" customHeight="1">
      <c r="A230" s="3" t="s">
        <v>263</v>
      </c>
      <c r="B230" s="87" t="s">
        <v>567</v>
      </c>
      <c r="C230" s="90">
        <v>1934</v>
      </c>
      <c r="D230" s="85" t="s">
        <v>99</v>
      </c>
      <c r="E230" s="2" t="s">
        <v>594</v>
      </c>
      <c r="F230" s="90">
        <v>5</v>
      </c>
      <c r="G230" s="90">
        <v>4</v>
      </c>
      <c r="H230" s="89">
        <v>4094.9</v>
      </c>
      <c r="I230" s="89">
        <v>3697.5</v>
      </c>
      <c r="J230" s="89">
        <f>I230-64.5</f>
        <v>3633</v>
      </c>
      <c r="K230" s="92">
        <v>114</v>
      </c>
      <c r="L230" s="89">
        <f>'Таблица 2, 3 виды ремонта'!C225</f>
        <v>2395908</v>
      </c>
      <c r="M230" s="1">
        <v>0</v>
      </c>
      <c r="N230" s="1">
        <v>0</v>
      </c>
      <c r="O230" s="1">
        <v>0</v>
      </c>
      <c r="P230" s="89">
        <f t="shared" si="7"/>
        <v>2395908</v>
      </c>
      <c r="Q230" s="91" t="s">
        <v>339</v>
      </c>
      <c r="R230" s="46"/>
      <c r="S230" s="49" t="s">
        <v>588</v>
      </c>
      <c r="T230" s="42" t="s">
        <v>323</v>
      </c>
      <c r="U230" s="31" t="s">
        <v>586</v>
      </c>
    </row>
    <row r="231" spans="1:21" ht="16.5" customHeight="1">
      <c r="A231" s="3" t="s">
        <v>264</v>
      </c>
      <c r="B231" s="87" t="s">
        <v>518</v>
      </c>
      <c r="C231" s="2">
        <v>1948</v>
      </c>
      <c r="D231" s="85" t="s">
        <v>99</v>
      </c>
      <c r="E231" s="85" t="s">
        <v>343</v>
      </c>
      <c r="F231" s="85">
        <v>1</v>
      </c>
      <c r="G231" s="85">
        <v>1</v>
      </c>
      <c r="H231" s="88">
        <v>180.6</v>
      </c>
      <c r="I231" s="89">
        <v>180.6</v>
      </c>
      <c r="J231" s="1">
        <f>I231-1</f>
        <v>179.6</v>
      </c>
      <c r="K231" s="90">
        <v>9</v>
      </c>
      <c r="L231" s="89">
        <f>'Таблица 2, 3 виды ремонта'!C226</f>
        <v>300000</v>
      </c>
      <c r="M231" s="1">
        <v>0</v>
      </c>
      <c r="N231" s="1">
        <v>0</v>
      </c>
      <c r="O231" s="1">
        <v>0</v>
      </c>
      <c r="P231" s="89">
        <f t="shared" si="7"/>
        <v>300000</v>
      </c>
      <c r="Q231" s="91" t="s">
        <v>339</v>
      </c>
      <c r="R231" s="46" t="s">
        <v>606</v>
      </c>
      <c r="S231" s="39" t="s">
        <v>592</v>
      </c>
      <c r="T231" s="29" t="s">
        <v>318</v>
      </c>
      <c r="U231" s="30" t="s">
        <v>586</v>
      </c>
    </row>
    <row r="232" spans="1:21" ht="16.5" customHeight="1">
      <c r="A232" s="3" t="s">
        <v>265</v>
      </c>
      <c r="B232" s="87" t="s">
        <v>519</v>
      </c>
      <c r="C232" s="2">
        <v>1966</v>
      </c>
      <c r="D232" s="85" t="s">
        <v>99</v>
      </c>
      <c r="E232" s="2" t="s">
        <v>594</v>
      </c>
      <c r="F232" s="90">
        <v>6</v>
      </c>
      <c r="G232" s="90">
        <v>4</v>
      </c>
      <c r="H232" s="88">
        <v>1611.9</v>
      </c>
      <c r="I232" s="89">
        <v>1611.9</v>
      </c>
      <c r="J232" s="89">
        <f>I232-104</f>
        <v>1507.9</v>
      </c>
      <c r="K232" s="90">
        <v>75</v>
      </c>
      <c r="L232" s="89">
        <f>'Таблица 2, 3 виды ремонта'!C227</f>
        <v>120000</v>
      </c>
      <c r="M232" s="1">
        <v>0</v>
      </c>
      <c r="N232" s="1">
        <v>0</v>
      </c>
      <c r="O232" s="1">
        <v>0</v>
      </c>
      <c r="P232" s="89">
        <f t="shared" si="7"/>
        <v>120000</v>
      </c>
      <c r="Q232" s="91" t="s">
        <v>339</v>
      </c>
      <c r="R232" s="47" t="s">
        <v>606</v>
      </c>
      <c r="S232" s="39" t="s">
        <v>592</v>
      </c>
      <c r="T232" s="29" t="s">
        <v>318</v>
      </c>
      <c r="U232" s="30" t="s">
        <v>586</v>
      </c>
    </row>
    <row r="233" spans="1:21" ht="16.5" customHeight="1">
      <c r="A233" s="3" t="s">
        <v>266</v>
      </c>
      <c r="B233" s="87" t="s">
        <v>520</v>
      </c>
      <c r="C233" s="2" t="s">
        <v>317</v>
      </c>
      <c r="D233" s="85" t="s">
        <v>99</v>
      </c>
      <c r="E233" s="2" t="s">
        <v>594</v>
      </c>
      <c r="F233" s="90">
        <v>2</v>
      </c>
      <c r="G233" s="90">
        <v>2</v>
      </c>
      <c r="H233" s="88">
        <v>761.6</v>
      </c>
      <c r="I233" s="89">
        <v>503.8</v>
      </c>
      <c r="J233" s="89">
        <f>I233-94</f>
        <v>409.8</v>
      </c>
      <c r="K233" s="90">
        <v>24</v>
      </c>
      <c r="L233" s="89">
        <f>'Таблица 2, 3 виды ремонта'!C228</f>
        <v>700000</v>
      </c>
      <c r="M233" s="1">
        <v>0</v>
      </c>
      <c r="N233" s="1">
        <v>0</v>
      </c>
      <c r="O233" s="1">
        <v>0</v>
      </c>
      <c r="P233" s="89">
        <f t="shared" si="7"/>
        <v>700000</v>
      </c>
      <c r="Q233" s="91" t="s">
        <v>339</v>
      </c>
      <c r="R233" s="45"/>
      <c r="S233" s="39" t="s">
        <v>588</v>
      </c>
      <c r="T233" s="29" t="s">
        <v>326</v>
      </c>
      <c r="U233" s="30" t="s">
        <v>586</v>
      </c>
    </row>
    <row r="234" spans="1:21" ht="16.5" customHeight="1">
      <c r="A234" s="3" t="s">
        <v>267</v>
      </c>
      <c r="B234" s="87" t="s">
        <v>521</v>
      </c>
      <c r="C234" s="2">
        <v>1975</v>
      </c>
      <c r="D234" s="85" t="s">
        <v>99</v>
      </c>
      <c r="E234" s="2" t="s">
        <v>595</v>
      </c>
      <c r="F234" s="85">
        <v>5</v>
      </c>
      <c r="G234" s="85">
        <v>6</v>
      </c>
      <c r="H234" s="88">
        <v>4345</v>
      </c>
      <c r="I234" s="89">
        <v>3933</v>
      </c>
      <c r="J234" s="1">
        <f>I234-685.6</f>
        <v>3247.4</v>
      </c>
      <c r="K234" s="90">
        <v>193</v>
      </c>
      <c r="L234" s="89">
        <f>'Таблица 2, 3 виды ремонта'!C229</f>
        <v>2700000</v>
      </c>
      <c r="M234" s="1">
        <v>0</v>
      </c>
      <c r="N234" s="1">
        <v>0</v>
      </c>
      <c r="O234" s="1">
        <v>0</v>
      </c>
      <c r="P234" s="89">
        <f t="shared" si="7"/>
        <v>2700000</v>
      </c>
      <c r="Q234" s="91" t="s">
        <v>339</v>
      </c>
      <c r="R234" s="46"/>
      <c r="S234" s="44" t="s">
        <v>589</v>
      </c>
      <c r="T234" s="29" t="s">
        <v>325</v>
      </c>
      <c r="U234" s="31" t="s">
        <v>586</v>
      </c>
    </row>
    <row r="235" spans="1:21" ht="16.5" customHeight="1">
      <c r="A235" s="3" t="s">
        <v>268</v>
      </c>
      <c r="B235" s="87" t="s">
        <v>522</v>
      </c>
      <c r="C235" s="2">
        <v>1980</v>
      </c>
      <c r="D235" s="85" t="s">
        <v>99</v>
      </c>
      <c r="E235" s="2" t="s">
        <v>594</v>
      </c>
      <c r="F235" s="90">
        <v>5</v>
      </c>
      <c r="G235" s="90">
        <v>2</v>
      </c>
      <c r="H235" s="88">
        <v>4521</v>
      </c>
      <c r="I235" s="89">
        <v>2664</v>
      </c>
      <c r="J235" s="89">
        <f>I235-149.22</f>
        <v>2514.78</v>
      </c>
      <c r="K235" s="90">
        <v>199</v>
      </c>
      <c r="L235" s="89">
        <f>'Таблица 2, 3 виды ремонта'!C230</f>
        <v>700000</v>
      </c>
      <c r="M235" s="1">
        <v>0</v>
      </c>
      <c r="N235" s="1">
        <v>0</v>
      </c>
      <c r="O235" s="1">
        <v>0</v>
      </c>
      <c r="P235" s="89">
        <f aca="true" t="shared" si="8" ref="P235:P263">L235</f>
        <v>700000</v>
      </c>
      <c r="Q235" s="91" t="s">
        <v>339</v>
      </c>
      <c r="R235" s="47"/>
      <c r="S235" s="44" t="s">
        <v>587</v>
      </c>
      <c r="T235" s="29" t="s">
        <v>325</v>
      </c>
      <c r="U235" s="31" t="s">
        <v>586</v>
      </c>
    </row>
    <row r="236" spans="1:21" ht="16.5" customHeight="1">
      <c r="A236" s="3" t="s">
        <v>269</v>
      </c>
      <c r="B236" s="87" t="s">
        <v>523</v>
      </c>
      <c r="C236" s="2">
        <v>1992</v>
      </c>
      <c r="D236" s="85" t="s">
        <v>99</v>
      </c>
      <c r="E236" s="2" t="s">
        <v>595</v>
      </c>
      <c r="F236" s="85">
        <v>10</v>
      </c>
      <c r="G236" s="85">
        <v>9</v>
      </c>
      <c r="H236" s="88">
        <v>21933.94</v>
      </c>
      <c r="I236" s="89">
        <v>19595.44</v>
      </c>
      <c r="J236" s="1">
        <f>I236-0</f>
        <v>19595.44</v>
      </c>
      <c r="K236" s="90">
        <v>832</v>
      </c>
      <c r="L236" s="89">
        <f>'Таблица 2, 3 виды ремонта'!C231</f>
        <v>1531775</v>
      </c>
      <c r="M236" s="1">
        <v>0</v>
      </c>
      <c r="N236" s="1">
        <v>0</v>
      </c>
      <c r="O236" s="1">
        <v>0</v>
      </c>
      <c r="P236" s="89">
        <f t="shared" si="8"/>
        <v>1531775</v>
      </c>
      <c r="Q236" s="91" t="s">
        <v>339</v>
      </c>
      <c r="R236" s="47"/>
      <c r="S236" s="41" t="s">
        <v>587</v>
      </c>
      <c r="T236" s="42" t="s">
        <v>318</v>
      </c>
      <c r="U236" s="30" t="s">
        <v>591</v>
      </c>
    </row>
    <row r="237" spans="1:21" ht="16.5" customHeight="1">
      <c r="A237" s="3" t="s">
        <v>270</v>
      </c>
      <c r="B237" s="87" t="s">
        <v>524</v>
      </c>
      <c r="C237" s="105">
        <v>1973</v>
      </c>
      <c r="D237" s="85" t="s">
        <v>99</v>
      </c>
      <c r="E237" s="2" t="s">
        <v>594</v>
      </c>
      <c r="F237" s="90">
        <v>9</v>
      </c>
      <c r="G237" s="90">
        <v>5</v>
      </c>
      <c r="H237" s="88">
        <v>12583.7</v>
      </c>
      <c r="I237" s="89">
        <v>11283.9</v>
      </c>
      <c r="J237" s="89">
        <f>I237-1430</f>
        <v>9853.9</v>
      </c>
      <c r="K237" s="90">
        <v>540</v>
      </c>
      <c r="L237" s="89">
        <f>'Таблица 2, 3 виды ремонта'!C232</f>
        <v>7530900</v>
      </c>
      <c r="M237" s="1">
        <v>0</v>
      </c>
      <c r="N237" s="1">
        <v>0</v>
      </c>
      <c r="O237" s="1">
        <v>0</v>
      </c>
      <c r="P237" s="89">
        <f t="shared" si="8"/>
        <v>7530900</v>
      </c>
      <c r="Q237" s="91" t="s">
        <v>339</v>
      </c>
      <c r="R237" s="46"/>
      <c r="S237" s="44" t="s">
        <v>589</v>
      </c>
      <c r="T237" s="29" t="s">
        <v>330</v>
      </c>
      <c r="U237" s="31" t="s">
        <v>586</v>
      </c>
    </row>
    <row r="238" spans="1:21" ht="16.5" customHeight="1">
      <c r="A238" s="3" t="s">
        <v>271</v>
      </c>
      <c r="B238" s="87" t="s">
        <v>525</v>
      </c>
      <c r="C238" s="105">
        <v>1984</v>
      </c>
      <c r="D238" s="85" t="s">
        <v>99</v>
      </c>
      <c r="E238" s="2" t="s">
        <v>595</v>
      </c>
      <c r="F238" s="90">
        <v>5</v>
      </c>
      <c r="G238" s="90">
        <v>6</v>
      </c>
      <c r="H238" s="88">
        <v>4427</v>
      </c>
      <c r="I238" s="89">
        <v>4021.1</v>
      </c>
      <c r="J238" s="89">
        <f>I238-568.4</f>
        <v>3452.7</v>
      </c>
      <c r="K238" s="90">
        <v>238</v>
      </c>
      <c r="L238" s="89">
        <f>'Таблица 2, 3 виды ремонта'!C233</f>
        <v>2220100</v>
      </c>
      <c r="M238" s="1">
        <v>0</v>
      </c>
      <c r="N238" s="1">
        <v>0</v>
      </c>
      <c r="O238" s="1">
        <v>0</v>
      </c>
      <c r="P238" s="89">
        <f t="shared" si="8"/>
        <v>2220100</v>
      </c>
      <c r="Q238" s="91" t="s">
        <v>339</v>
      </c>
      <c r="R238" s="46"/>
      <c r="S238" s="44" t="s">
        <v>590</v>
      </c>
      <c r="T238" s="29" t="s">
        <v>319</v>
      </c>
      <c r="U238" s="31" t="s">
        <v>591</v>
      </c>
    </row>
    <row r="239" spans="1:21" ht="16.5" customHeight="1">
      <c r="A239" s="3" t="s">
        <v>272</v>
      </c>
      <c r="B239" s="87" t="s">
        <v>526</v>
      </c>
      <c r="C239" s="105">
        <v>1968</v>
      </c>
      <c r="D239" s="85" t="s">
        <v>99</v>
      </c>
      <c r="E239" s="2" t="s">
        <v>595</v>
      </c>
      <c r="F239" s="90">
        <v>5</v>
      </c>
      <c r="G239" s="90">
        <v>4</v>
      </c>
      <c r="H239" s="88">
        <v>3515.5</v>
      </c>
      <c r="I239" s="89">
        <v>3515.5</v>
      </c>
      <c r="J239" s="89">
        <f>I239-264.3</f>
        <v>3251.2</v>
      </c>
      <c r="K239" s="90">
        <v>168</v>
      </c>
      <c r="L239" s="89">
        <f>'Таблица 2, 3 виды ремонта'!C234</f>
        <v>2916350</v>
      </c>
      <c r="M239" s="1">
        <v>0</v>
      </c>
      <c r="N239" s="1">
        <v>0</v>
      </c>
      <c r="O239" s="1">
        <v>0</v>
      </c>
      <c r="P239" s="89">
        <f t="shared" si="8"/>
        <v>2916350</v>
      </c>
      <c r="Q239" s="91" t="s">
        <v>339</v>
      </c>
      <c r="R239" s="46"/>
      <c r="S239" s="44" t="s">
        <v>590</v>
      </c>
      <c r="T239" s="29" t="s">
        <v>318</v>
      </c>
      <c r="U239" s="31" t="s">
        <v>586</v>
      </c>
    </row>
    <row r="240" spans="1:21" ht="16.5" customHeight="1">
      <c r="A240" s="3" t="s">
        <v>273</v>
      </c>
      <c r="B240" s="87" t="s">
        <v>527</v>
      </c>
      <c r="C240" s="105">
        <v>1976</v>
      </c>
      <c r="D240" s="85" t="s">
        <v>99</v>
      </c>
      <c r="E240" s="2" t="s">
        <v>594</v>
      </c>
      <c r="F240" s="90">
        <v>9</v>
      </c>
      <c r="G240" s="90">
        <v>2</v>
      </c>
      <c r="H240" s="88">
        <v>5248</v>
      </c>
      <c r="I240" s="89">
        <v>4669.1</v>
      </c>
      <c r="J240" s="89">
        <f>I240-400.8</f>
        <v>4268.3</v>
      </c>
      <c r="K240" s="90">
        <v>249</v>
      </c>
      <c r="L240" s="89">
        <f>'Таблица 2, 3 виды ремонта'!C235</f>
        <v>1239260</v>
      </c>
      <c r="M240" s="1">
        <v>0</v>
      </c>
      <c r="N240" s="1">
        <v>0</v>
      </c>
      <c r="O240" s="1">
        <v>0</v>
      </c>
      <c r="P240" s="89">
        <f t="shared" si="8"/>
        <v>1239260</v>
      </c>
      <c r="Q240" s="91" t="s">
        <v>339</v>
      </c>
      <c r="R240" s="45"/>
      <c r="S240" s="44" t="s">
        <v>590</v>
      </c>
      <c r="T240" s="29" t="s">
        <v>319</v>
      </c>
      <c r="U240" s="31" t="s">
        <v>586</v>
      </c>
    </row>
    <row r="241" spans="1:21" ht="16.5" customHeight="1">
      <c r="A241" s="3" t="s">
        <v>274</v>
      </c>
      <c r="B241" s="87" t="s">
        <v>528</v>
      </c>
      <c r="C241" s="105">
        <v>1973</v>
      </c>
      <c r="D241" s="85" t="s">
        <v>99</v>
      </c>
      <c r="E241" s="2" t="s">
        <v>594</v>
      </c>
      <c r="F241" s="85">
        <v>9</v>
      </c>
      <c r="G241" s="85">
        <v>2</v>
      </c>
      <c r="H241" s="88">
        <v>5676.8</v>
      </c>
      <c r="I241" s="89">
        <v>4302</v>
      </c>
      <c r="J241" s="1">
        <f>I241-459.25</f>
        <v>3842.75</v>
      </c>
      <c r="K241" s="90">
        <v>198</v>
      </c>
      <c r="L241" s="89">
        <f>'Таблица 2, 3 виды ремонта'!C236</f>
        <v>694460</v>
      </c>
      <c r="M241" s="1">
        <v>0</v>
      </c>
      <c r="N241" s="1">
        <v>0</v>
      </c>
      <c r="O241" s="1">
        <v>0</v>
      </c>
      <c r="P241" s="89">
        <f t="shared" si="8"/>
        <v>694460</v>
      </c>
      <c r="Q241" s="91" t="s">
        <v>339</v>
      </c>
      <c r="R241" s="45"/>
      <c r="S241" s="43" t="s">
        <v>590</v>
      </c>
      <c r="T241" s="42" t="s">
        <v>326</v>
      </c>
      <c r="U241" s="31" t="s">
        <v>591</v>
      </c>
    </row>
    <row r="242" spans="1:21" ht="16.5" customHeight="1">
      <c r="A242" s="3" t="s">
        <v>275</v>
      </c>
      <c r="B242" s="87" t="s">
        <v>529</v>
      </c>
      <c r="C242" s="105">
        <v>1981</v>
      </c>
      <c r="D242" s="85" t="s">
        <v>99</v>
      </c>
      <c r="E242" s="2" t="s">
        <v>595</v>
      </c>
      <c r="F242" s="90">
        <v>5</v>
      </c>
      <c r="G242" s="90">
        <v>6</v>
      </c>
      <c r="H242" s="88">
        <v>5428</v>
      </c>
      <c r="I242" s="89">
        <v>3999.3</v>
      </c>
      <c r="J242" s="89">
        <f>I242-526.2</f>
        <v>3473.1000000000004</v>
      </c>
      <c r="K242" s="90">
        <v>233</v>
      </c>
      <c r="L242" s="89">
        <f>'Таблица 2, 3 виды ремонта'!C237</f>
        <v>2220100</v>
      </c>
      <c r="M242" s="1">
        <v>0</v>
      </c>
      <c r="N242" s="1">
        <v>0</v>
      </c>
      <c r="O242" s="1">
        <v>0</v>
      </c>
      <c r="P242" s="89">
        <f t="shared" si="8"/>
        <v>2220100</v>
      </c>
      <c r="Q242" s="91" t="s">
        <v>339</v>
      </c>
      <c r="R242" s="45"/>
      <c r="S242" s="43" t="s">
        <v>590</v>
      </c>
      <c r="T242" s="42" t="s">
        <v>326</v>
      </c>
      <c r="U242" s="31" t="s">
        <v>586</v>
      </c>
    </row>
    <row r="243" spans="1:21" ht="16.5" customHeight="1">
      <c r="A243" s="3" t="s">
        <v>276</v>
      </c>
      <c r="B243" s="87" t="s">
        <v>530</v>
      </c>
      <c r="C243" s="105">
        <v>1979</v>
      </c>
      <c r="D243" s="85" t="s">
        <v>99</v>
      </c>
      <c r="E243" s="2" t="s">
        <v>594</v>
      </c>
      <c r="F243" s="90">
        <v>9</v>
      </c>
      <c r="G243" s="90">
        <v>3</v>
      </c>
      <c r="H243" s="88">
        <v>13461</v>
      </c>
      <c r="I243" s="89">
        <v>7115.6</v>
      </c>
      <c r="J243" s="89">
        <f>I243-805.4</f>
        <v>6310.200000000001</v>
      </c>
      <c r="K243" s="90">
        <v>360</v>
      </c>
      <c r="L243" s="89">
        <f>'Таблица 2, 3 виды ремонта'!C238</f>
        <v>3867720</v>
      </c>
      <c r="M243" s="1">
        <v>0</v>
      </c>
      <c r="N243" s="1">
        <v>0</v>
      </c>
      <c r="O243" s="1">
        <v>0</v>
      </c>
      <c r="P243" s="89">
        <f t="shared" si="8"/>
        <v>3867720</v>
      </c>
      <c r="Q243" s="91" t="s">
        <v>339</v>
      </c>
      <c r="R243" s="45"/>
      <c r="S243" s="43" t="s">
        <v>590</v>
      </c>
      <c r="T243" s="42" t="s">
        <v>318</v>
      </c>
      <c r="U243" s="31" t="s">
        <v>586</v>
      </c>
    </row>
    <row r="244" spans="1:21" ht="16.5" customHeight="1">
      <c r="A244" s="3" t="s">
        <v>277</v>
      </c>
      <c r="B244" s="87" t="s">
        <v>531</v>
      </c>
      <c r="C244" s="105">
        <v>1978</v>
      </c>
      <c r="D244" s="85" t="s">
        <v>99</v>
      </c>
      <c r="E244" s="2" t="s">
        <v>595</v>
      </c>
      <c r="F244" s="90">
        <v>9</v>
      </c>
      <c r="G244" s="90">
        <v>4</v>
      </c>
      <c r="H244" s="88">
        <v>9900</v>
      </c>
      <c r="I244" s="89">
        <v>7540.8</v>
      </c>
      <c r="J244" s="89">
        <f>I244-1027.2</f>
        <v>6513.6</v>
      </c>
      <c r="K244" s="90">
        <v>427</v>
      </c>
      <c r="L244" s="89">
        <f>'Таблица 2, 3 виды ремонта'!C239</f>
        <v>2130960</v>
      </c>
      <c r="M244" s="1">
        <v>0</v>
      </c>
      <c r="N244" s="1">
        <v>0</v>
      </c>
      <c r="O244" s="1">
        <v>0</v>
      </c>
      <c r="P244" s="89">
        <f t="shared" si="8"/>
        <v>2130960</v>
      </c>
      <c r="Q244" s="91" t="s">
        <v>339</v>
      </c>
      <c r="R244" s="40"/>
      <c r="S244" s="43" t="s">
        <v>590</v>
      </c>
      <c r="T244" s="42" t="s">
        <v>326</v>
      </c>
      <c r="U244" s="31" t="s">
        <v>591</v>
      </c>
    </row>
    <row r="245" spans="1:21" ht="16.5" customHeight="1">
      <c r="A245" s="3" t="s">
        <v>278</v>
      </c>
      <c r="B245" s="87" t="s">
        <v>532</v>
      </c>
      <c r="C245" s="105">
        <v>1977</v>
      </c>
      <c r="D245" s="85" t="s">
        <v>99</v>
      </c>
      <c r="E245" s="2" t="s">
        <v>595</v>
      </c>
      <c r="F245" s="90">
        <v>9</v>
      </c>
      <c r="G245" s="90">
        <v>6</v>
      </c>
      <c r="H245" s="88">
        <v>20801</v>
      </c>
      <c r="I245" s="89">
        <v>16014.2</v>
      </c>
      <c r="J245" s="89">
        <f>I245-1730.2</f>
        <v>14284</v>
      </c>
      <c r="K245" s="90">
        <v>842</v>
      </c>
      <c r="L245" s="89">
        <f>'Таблица 2, 3 виды ремонта'!C240</f>
        <v>4480160</v>
      </c>
      <c r="M245" s="1">
        <v>0</v>
      </c>
      <c r="N245" s="1">
        <v>0</v>
      </c>
      <c r="O245" s="1">
        <v>0</v>
      </c>
      <c r="P245" s="89">
        <f t="shared" si="8"/>
        <v>4480160</v>
      </c>
      <c r="Q245" s="91" t="s">
        <v>339</v>
      </c>
      <c r="R245" s="40"/>
      <c r="S245" s="43" t="s">
        <v>590</v>
      </c>
      <c r="T245" s="42" t="s">
        <v>326</v>
      </c>
      <c r="U245" s="31" t="s">
        <v>591</v>
      </c>
    </row>
    <row r="246" spans="1:21" ht="16.5" customHeight="1">
      <c r="A246" s="3" t="s">
        <v>279</v>
      </c>
      <c r="B246" s="87" t="s">
        <v>533</v>
      </c>
      <c r="C246" s="2">
        <v>1985</v>
      </c>
      <c r="D246" s="85" t="s">
        <v>99</v>
      </c>
      <c r="E246" s="2" t="s">
        <v>594</v>
      </c>
      <c r="F246" s="90">
        <v>9</v>
      </c>
      <c r="G246" s="90">
        <v>1</v>
      </c>
      <c r="H246" s="88">
        <v>4357.98</v>
      </c>
      <c r="I246" s="89">
        <v>4357.98</v>
      </c>
      <c r="J246" s="89">
        <f>I246-457.41</f>
        <v>3900.5699999999997</v>
      </c>
      <c r="K246" s="90">
        <v>322</v>
      </c>
      <c r="L246" s="89">
        <f>'Таблица 2, 3 виды ремонта'!C241</f>
        <v>950000</v>
      </c>
      <c r="M246" s="1">
        <v>0</v>
      </c>
      <c r="N246" s="1">
        <v>0</v>
      </c>
      <c r="O246" s="1">
        <v>0</v>
      </c>
      <c r="P246" s="89">
        <f t="shared" si="8"/>
        <v>950000</v>
      </c>
      <c r="Q246" s="91" t="s">
        <v>339</v>
      </c>
      <c r="R246" s="40"/>
      <c r="S246" s="43" t="s">
        <v>590</v>
      </c>
      <c r="T246" s="42" t="s">
        <v>326</v>
      </c>
      <c r="U246" s="31" t="s">
        <v>591</v>
      </c>
    </row>
    <row r="247" spans="1:21" ht="16.5" customHeight="1">
      <c r="A247" s="3" t="s">
        <v>280</v>
      </c>
      <c r="B247" s="87" t="s">
        <v>534</v>
      </c>
      <c r="C247" s="2" t="s">
        <v>300</v>
      </c>
      <c r="D247" s="85" t="s">
        <v>99</v>
      </c>
      <c r="E247" s="2" t="s">
        <v>594</v>
      </c>
      <c r="F247" s="90">
        <v>4</v>
      </c>
      <c r="G247" s="90">
        <v>3</v>
      </c>
      <c r="H247" s="88">
        <v>2644.9</v>
      </c>
      <c r="I247" s="89">
        <v>1491.2</v>
      </c>
      <c r="J247" s="89">
        <f>I247-0</f>
        <v>1491.2</v>
      </c>
      <c r="K247" s="90">
        <v>74</v>
      </c>
      <c r="L247" s="89">
        <f>'Таблица 2, 3 виды ремонта'!C242</f>
        <v>2528846</v>
      </c>
      <c r="M247" s="1">
        <v>0</v>
      </c>
      <c r="N247" s="1">
        <v>0</v>
      </c>
      <c r="O247" s="1">
        <v>0</v>
      </c>
      <c r="P247" s="89">
        <f t="shared" si="8"/>
        <v>2528846</v>
      </c>
      <c r="Q247" s="91" t="s">
        <v>339</v>
      </c>
      <c r="R247" s="40"/>
      <c r="S247" s="43" t="s">
        <v>589</v>
      </c>
      <c r="T247" s="42" t="s">
        <v>318</v>
      </c>
      <c r="U247" s="31" t="s">
        <v>586</v>
      </c>
    </row>
    <row r="248" spans="1:21" ht="16.5" customHeight="1">
      <c r="A248" s="3" t="s">
        <v>281</v>
      </c>
      <c r="B248" s="87" t="s">
        <v>535</v>
      </c>
      <c r="C248" s="2">
        <v>1973</v>
      </c>
      <c r="D248" s="85" t="s">
        <v>99</v>
      </c>
      <c r="E248" s="2" t="s">
        <v>595</v>
      </c>
      <c r="F248" s="90">
        <v>9</v>
      </c>
      <c r="G248" s="90">
        <v>2</v>
      </c>
      <c r="H248" s="88">
        <v>4458.4</v>
      </c>
      <c r="I248" s="89">
        <v>3842.67</v>
      </c>
      <c r="J248" s="89">
        <f>I248-0</f>
        <v>3842.67</v>
      </c>
      <c r="K248" s="90">
        <v>186</v>
      </c>
      <c r="L248" s="89">
        <f>'Таблица 2, 3 виды ремонта'!C243</f>
        <v>1000000</v>
      </c>
      <c r="M248" s="1">
        <v>0</v>
      </c>
      <c r="N248" s="1">
        <v>0</v>
      </c>
      <c r="O248" s="1">
        <v>0</v>
      </c>
      <c r="P248" s="89">
        <f t="shared" si="8"/>
        <v>1000000</v>
      </c>
      <c r="Q248" s="91" t="s">
        <v>339</v>
      </c>
      <c r="R248" s="40"/>
      <c r="S248" s="43" t="s">
        <v>589</v>
      </c>
      <c r="T248" s="42" t="s">
        <v>330</v>
      </c>
      <c r="U248" s="31" t="s">
        <v>586</v>
      </c>
    </row>
    <row r="249" spans="1:21" ht="16.5" customHeight="1">
      <c r="A249" s="3" t="s">
        <v>282</v>
      </c>
      <c r="B249" s="87" t="s">
        <v>536</v>
      </c>
      <c r="C249" s="2">
        <v>1979</v>
      </c>
      <c r="D249" s="85" t="s">
        <v>99</v>
      </c>
      <c r="E249" s="2" t="s">
        <v>595</v>
      </c>
      <c r="F249" s="90">
        <v>9</v>
      </c>
      <c r="G249" s="90">
        <v>2</v>
      </c>
      <c r="H249" s="88">
        <v>4456.1</v>
      </c>
      <c r="I249" s="89">
        <v>3835.52</v>
      </c>
      <c r="J249" s="89">
        <f>I249-0</f>
        <v>3835.52</v>
      </c>
      <c r="K249" s="90">
        <v>195</v>
      </c>
      <c r="L249" s="89">
        <f>'Таблица 2, 3 виды ремонта'!C244</f>
        <v>900000</v>
      </c>
      <c r="M249" s="1">
        <v>0</v>
      </c>
      <c r="N249" s="1">
        <v>0</v>
      </c>
      <c r="O249" s="1">
        <v>0</v>
      </c>
      <c r="P249" s="89">
        <f t="shared" si="8"/>
        <v>900000</v>
      </c>
      <c r="Q249" s="91" t="s">
        <v>339</v>
      </c>
      <c r="R249" s="40"/>
      <c r="S249" s="43" t="s">
        <v>585</v>
      </c>
      <c r="T249" s="42" t="s">
        <v>322</v>
      </c>
      <c r="U249" s="31" t="s">
        <v>586</v>
      </c>
    </row>
    <row r="250" spans="1:21" ht="16.5" customHeight="1">
      <c r="A250" s="3" t="s">
        <v>283</v>
      </c>
      <c r="B250" s="87" t="s">
        <v>537</v>
      </c>
      <c r="C250" s="105">
        <v>1993</v>
      </c>
      <c r="D250" s="85" t="s">
        <v>99</v>
      </c>
      <c r="E250" s="2" t="s">
        <v>595</v>
      </c>
      <c r="F250" s="90">
        <v>9</v>
      </c>
      <c r="G250" s="90">
        <v>8</v>
      </c>
      <c r="H250" s="88">
        <v>16003.9</v>
      </c>
      <c r="I250" s="89">
        <v>15470</v>
      </c>
      <c r="J250" s="89">
        <f>I250-1670.35</f>
        <v>13799.65</v>
      </c>
      <c r="K250" s="90">
        <v>761</v>
      </c>
      <c r="L250" s="89">
        <f>'Таблица 2, 3 виды ремонта'!C245</f>
        <v>7616350</v>
      </c>
      <c r="M250" s="1">
        <v>0</v>
      </c>
      <c r="N250" s="1">
        <v>0</v>
      </c>
      <c r="O250" s="1">
        <v>0</v>
      </c>
      <c r="P250" s="89">
        <f t="shared" si="8"/>
        <v>7616350</v>
      </c>
      <c r="Q250" s="91" t="s">
        <v>339</v>
      </c>
      <c r="R250" s="40"/>
      <c r="S250" s="43" t="s">
        <v>585</v>
      </c>
      <c r="T250" s="42" t="s">
        <v>326</v>
      </c>
      <c r="U250" s="31" t="s">
        <v>591</v>
      </c>
    </row>
    <row r="251" spans="1:21" ht="16.5" customHeight="1">
      <c r="A251" s="3" t="s">
        <v>284</v>
      </c>
      <c r="B251" s="87" t="s">
        <v>538</v>
      </c>
      <c r="C251" s="2">
        <v>1952</v>
      </c>
      <c r="D251" s="85" t="s">
        <v>99</v>
      </c>
      <c r="E251" s="2" t="s">
        <v>594</v>
      </c>
      <c r="F251" s="90">
        <v>3</v>
      </c>
      <c r="G251" s="90">
        <v>2</v>
      </c>
      <c r="H251" s="88">
        <v>1528.7</v>
      </c>
      <c r="I251" s="89">
        <v>1065.86</v>
      </c>
      <c r="J251" s="89">
        <f aca="true" t="shared" si="9" ref="J251:J258">I251-0</f>
        <v>1065.86</v>
      </c>
      <c r="K251" s="90">
        <v>48</v>
      </c>
      <c r="L251" s="89">
        <f>'Таблица 2, 3 виды ремонта'!C246</f>
        <v>62489.04</v>
      </c>
      <c r="M251" s="1">
        <v>0</v>
      </c>
      <c r="N251" s="1">
        <v>0</v>
      </c>
      <c r="O251" s="1">
        <v>0</v>
      </c>
      <c r="P251" s="89">
        <f t="shared" si="8"/>
        <v>62489.04</v>
      </c>
      <c r="Q251" s="91" t="s">
        <v>339</v>
      </c>
      <c r="R251" s="40"/>
      <c r="S251" s="41" t="s">
        <v>590</v>
      </c>
      <c r="T251" s="42" t="s">
        <v>325</v>
      </c>
      <c r="U251" s="30" t="s">
        <v>586</v>
      </c>
    </row>
    <row r="252" spans="1:21" ht="16.5" customHeight="1">
      <c r="A252" s="3" t="s">
        <v>285</v>
      </c>
      <c r="B252" s="87" t="s">
        <v>539</v>
      </c>
      <c r="C252" s="2">
        <v>1952</v>
      </c>
      <c r="D252" s="85" t="s">
        <v>99</v>
      </c>
      <c r="E252" s="2" t="s">
        <v>594</v>
      </c>
      <c r="F252" s="90">
        <v>2</v>
      </c>
      <c r="G252" s="90">
        <v>1</v>
      </c>
      <c r="H252" s="88">
        <v>768.8</v>
      </c>
      <c r="I252" s="89">
        <v>726.45</v>
      </c>
      <c r="J252" s="89">
        <f t="shared" si="9"/>
        <v>726.45</v>
      </c>
      <c r="K252" s="90">
        <v>49</v>
      </c>
      <c r="L252" s="89">
        <f>'Таблица 2, 3 виды ремонта'!C247</f>
        <v>39003.01</v>
      </c>
      <c r="M252" s="1">
        <v>0</v>
      </c>
      <c r="N252" s="1">
        <v>0</v>
      </c>
      <c r="O252" s="1">
        <v>0</v>
      </c>
      <c r="P252" s="89">
        <f t="shared" si="8"/>
        <v>39003.01</v>
      </c>
      <c r="Q252" s="91" t="s">
        <v>339</v>
      </c>
      <c r="R252" s="40"/>
      <c r="S252" s="43" t="s">
        <v>585</v>
      </c>
      <c r="T252" s="42" t="s">
        <v>319</v>
      </c>
      <c r="U252" s="31" t="s">
        <v>586</v>
      </c>
    </row>
    <row r="253" spans="1:21" ht="16.5" customHeight="1">
      <c r="A253" s="3" t="s">
        <v>286</v>
      </c>
      <c r="B253" s="87" t="s">
        <v>540</v>
      </c>
      <c r="C253" s="2">
        <v>1962</v>
      </c>
      <c r="D253" s="85" t="s">
        <v>99</v>
      </c>
      <c r="E253" s="2" t="s">
        <v>594</v>
      </c>
      <c r="F253" s="90">
        <v>5</v>
      </c>
      <c r="G253" s="90">
        <v>2</v>
      </c>
      <c r="H253" s="88">
        <v>1701.5</v>
      </c>
      <c r="I253" s="89">
        <v>1267.7</v>
      </c>
      <c r="J253" s="89">
        <f t="shared" si="9"/>
        <v>1267.7</v>
      </c>
      <c r="K253" s="90">
        <v>63</v>
      </c>
      <c r="L253" s="89">
        <f>'Таблица 2, 3 виды ремонта'!C248</f>
        <v>550000</v>
      </c>
      <c r="M253" s="1">
        <v>0</v>
      </c>
      <c r="N253" s="1">
        <v>0</v>
      </c>
      <c r="O253" s="1">
        <v>0</v>
      </c>
      <c r="P253" s="89">
        <f t="shared" si="8"/>
        <v>550000</v>
      </c>
      <c r="Q253" s="91" t="s">
        <v>339</v>
      </c>
      <c r="R253" s="40"/>
      <c r="S253" s="43" t="s">
        <v>585</v>
      </c>
      <c r="T253" s="42" t="s">
        <v>319</v>
      </c>
      <c r="U253" s="31" t="s">
        <v>586</v>
      </c>
    </row>
    <row r="254" spans="1:21" ht="16.5" customHeight="1">
      <c r="A254" s="3" t="s">
        <v>287</v>
      </c>
      <c r="B254" s="87" t="s">
        <v>541</v>
      </c>
      <c r="C254" s="2">
        <v>1973</v>
      </c>
      <c r="D254" s="85" t="s">
        <v>99</v>
      </c>
      <c r="E254" s="2" t="s">
        <v>594</v>
      </c>
      <c r="F254" s="90">
        <v>9</v>
      </c>
      <c r="G254" s="90">
        <v>2</v>
      </c>
      <c r="H254" s="88">
        <v>5777.3</v>
      </c>
      <c r="I254" s="89">
        <v>5181.3</v>
      </c>
      <c r="J254" s="89">
        <f t="shared" si="9"/>
        <v>5181.3</v>
      </c>
      <c r="K254" s="90">
        <v>234</v>
      </c>
      <c r="L254" s="89">
        <f>'Таблица 2, 3 виды ремонта'!C249</f>
        <v>1000000</v>
      </c>
      <c r="M254" s="1">
        <v>0</v>
      </c>
      <c r="N254" s="1">
        <v>0</v>
      </c>
      <c r="O254" s="1">
        <v>0</v>
      </c>
      <c r="P254" s="89">
        <f t="shared" si="8"/>
        <v>1000000</v>
      </c>
      <c r="Q254" s="91" t="s">
        <v>339</v>
      </c>
      <c r="R254" s="46"/>
      <c r="S254" s="43" t="s">
        <v>585</v>
      </c>
      <c r="T254" s="42" t="s">
        <v>330</v>
      </c>
      <c r="U254" s="31" t="s">
        <v>586</v>
      </c>
    </row>
    <row r="255" spans="1:21" ht="16.5" customHeight="1">
      <c r="A255" s="3" t="s">
        <v>288</v>
      </c>
      <c r="B255" s="87" t="s">
        <v>542</v>
      </c>
      <c r="C255" s="2">
        <v>1976</v>
      </c>
      <c r="D255" s="85" t="s">
        <v>99</v>
      </c>
      <c r="E255" s="2" t="s">
        <v>594</v>
      </c>
      <c r="F255" s="90">
        <v>9</v>
      </c>
      <c r="G255" s="90">
        <v>2</v>
      </c>
      <c r="H255" s="88">
        <v>6242.3</v>
      </c>
      <c r="I255" s="89">
        <v>5191.49</v>
      </c>
      <c r="J255" s="89">
        <f t="shared" si="9"/>
        <v>5191.49</v>
      </c>
      <c r="K255" s="90">
        <v>241</v>
      </c>
      <c r="L255" s="89">
        <f>'Таблица 2, 3 виды ремонта'!C250</f>
        <v>1000000</v>
      </c>
      <c r="M255" s="1">
        <v>0</v>
      </c>
      <c r="N255" s="1">
        <v>0</v>
      </c>
      <c r="O255" s="1">
        <v>0</v>
      </c>
      <c r="P255" s="89">
        <f t="shared" si="8"/>
        <v>1000000</v>
      </c>
      <c r="Q255" s="91" t="s">
        <v>339</v>
      </c>
      <c r="R255" s="40"/>
      <c r="S255" s="43" t="s">
        <v>585</v>
      </c>
      <c r="T255" s="42" t="s">
        <v>326</v>
      </c>
      <c r="U255" s="31" t="s">
        <v>586</v>
      </c>
    </row>
    <row r="256" spans="1:21" ht="16.5" customHeight="1">
      <c r="A256" s="3" t="s">
        <v>289</v>
      </c>
      <c r="B256" s="87" t="s">
        <v>543</v>
      </c>
      <c r="C256" s="2">
        <v>1960</v>
      </c>
      <c r="D256" s="85" t="s">
        <v>99</v>
      </c>
      <c r="E256" s="2" t="s">
        <v>594</v>
      </c>
      <c r="F256" s="90">
        <v>5</v>
      </c>
      <c r="G256" s="90">
        <v>3</v>
      </c>
      <c r="H256" s="88">
        <v>3445</v>
      </c>
      <c r="I256" s="89">
        <v>2463.89</v>
      </c>
      <c r="J256" s="89">
        <f t="shared" si="9"/>
        <v>2463.89</v>
      </c>
      <c r="K256" s="90">
        <v>109</v>
      </c>
      <c r="L256" s="89">
        <f>'Таблица 2, 3 виды ремонта'!C251</f>
        <v>550000</v>
      </c>
      <c r="M256" s="1">
        <v>0</v>
      </c>
      <c r="N256" s="1">
        <v>0</v>
      </c>
      <c r="O256" s="1">
        <v>0</v>
      </c>
      <c r="P256" s="89">
        <f t="shared" si="8"/>
        <v>550000</v>
      </c>
      <c r="Q256" s="91" t="s">
        <v>339</v>
      </c>
      <c r="R256" s="40"/>
      <c r="S256" s="39" t="s">
        <v>585</v>
      </c>
      <c r="T256" s="29" t="s">
        <v>330</v>
      </c>
      <c r="U256" s="30" t="s">
        <v>591</v>
      </c>
    </row>
    <row r="257" spans="1:21" ht="16.5" customHeight="1">
      <c r="A257" s="3" t="s">
        <v>290</v>
      </c>
      <c r="B257" s="87" t="s">
        <v>544</v>
      </c>
      <c r="C257" s="2">
        <v>1973</v>
      </c>
      <c r="D257" s="85" t="s">
        <v>99</v>
      </c>
      <c r="E257" s="2" t="s">
        <v>594</v>
      </c>
      <c r="F257" s="90">
        <v>9</v>
      </c>
      <c r="G257" s="90">
        <v>1</v>
      </c>
      <c r="H257" s="88">
        <v>3372.5</v>
      </c>
      <c r="I257" s="89">
        <v>2581</v>
      </c>
      <c r="J257" s="89">
        <f t="shared" si="9"/>
        <v>2581</v>
      </c>
      <c r="K257" s="90">
        <v>124</v>
      </c>
      <c r="L257" s="89">
        <f>'Таблица 2, 3 виды ремонта'!C252</f>
        <v>800000</v>
      </c>
      <c r="M257" s="1">
        <v>0</v>
      </c>
      <c r="N257" s="1">
        <v>0</v>
      </c>
      <c r="O257" s="1">
        <v>0</v>
      </c>
      <c r="P257" s="89">
        <f t="shared" si="8"/>
        <v>800000</v>
      </c>
      <c r="Q257" s="91" t="s">
        <v>339</v>
      </c>
      <c r="R257" s="46"/>
      <c r="S257" s="43" t="s">
        <v>585</v>
      </c>
      <c r="T257" s="42" t="s">
        <v>330</v>
      </c>
      <c r="U257" s="31" t="s">
        <v>586</v>
      </c>
    </row>
    <row r="258" spans="1:21" ht="16.5" customHeight="1">
      <c r="A258" s="3" t="s">
        <v>291</v>
      </c>
      <c r="B258" s="87" t="s">
        <v>545</v>
      </c>
      <c r="C258" s="2">
        <v>1976</v>
      </c>
      <c r="D258" s="85" t="s">
        <v>99</v>
      </c>
      <c r="E258" s="2" t="s">
        <v>595</v>
      </c>
      <c r="F258" s="90">
        <v>9</v>
      </c>
      <c r="G258" s="90">
        <v>2</v>
      </c>
      <c r="H258" s="88">
        <v>4745.1</v>
      </c>
      <c r="I258" s="89">
        <v>3853.9</v>
      </c>
      <c r="J258" s="89">
        <f t="shared" si="9"/>
        <v>3853.9</v>
      </c>
      <c r="K258" s="90">
        <v>180</v>
      </c>
      <c r="L258" s="89">
        <f>'Таблица 2, 3 виды ремонта'!C253</f>
        <v>1000000</v>
      </c>
      <c r="M258" s="1">
        <v>0</v>
      </c>
      <c r="N258" s="1">
        <v>0</v>
      </c>
      <c r="O258" s="1">
        <v>0</v>
      </c>
      <c r="P258" s="89">
        <f t="shared" si="8"/>
        <v>1000000</v>
      </c>
      <c r="Q258" s="91" t="s">
        <v>339</v>
      </c>
      <c r="R258" s="47"/>
      <c r="S258" s="28" t="s">
        <v>585</v>
      </c>
      <c r="T258" s="29" t="s">
        <v>326</v>
      </c>
      <c r="U258" s="30" t="s">
        <v>591</v>
      </c>
    </row>
    <row r="259" spans="1:21" ht="16.5" customHeight="1">
      <c r="A259" s="3" t="s">
        <v>292</v>
      </c>
      <c r="B259" s="87" t="s">
        <v>546</v>
      </c>
      <c r="C259" s="2">
        <v>1962</v>
      </c>
      <c r="D259" s="85" t="s">
        <v>99</v>
      </c>
      <c r="E259" s="2" t="s">
        <v>594</v>
      </c>
      <c r="F259" s="90">
        <v>5</v>
      </c>
      <c r="G259" s="90">
        <v>3</v>
      </c>
      <c r="H259" s="88">
        <v>3469.82</v>
      </c>
      <c r="I259" s="89">
        <v>3469.82</v>
      </c>
      <c r="J259" s="89">
        <f>I259-543.92</f>
        <v>2925.9</v>
      </c>
      <c r="K259" s="90">
        <v>188</v>
      </c>
      <c r="L259" s="89">
        <f>'Таблица 2, 3 виды ремонта'!C254</f>
        <v>450000</v>
      </c>
      <c r="M259" s="1">
        <v>0</v>
      </c>
      <c r="N259" s="1">
        <v>0</v>
      </c>
      <c r="O259" s="1">
        <v>0</v>
      </c>
      <c r="P259" s="89">
        <f t="shared" si="8"/>
        <v>450000</v>
      </c>
      <c r="Q259" s="91" t="s">
        <v>339</v>
      </c>
      <c r="R259" s="25"/>
      <c r="S259" s="28" t="s">
        <v>588</v>
      </c>
      <c r="T259" s="29" t="s">
        <v>599</v>
      </c>
      <c r="U259" s="30" t="s">
        <v>586</v>
      </c>
    </row>
    <row r="260" spans="1:21" ht="16.5" customHeight="1">
      <c r="A260" s="3" t="s">
        <v>293</v>
      </c>
      <c r="B260" s="87" t="s">
        <v>547</v>
      </c>
      <c r="C260" s="2">
        <v>1976</v>
      </c>
      <c r="D260" s="85" t="s">
        <v>99</v>
      </c>
      <c r="E260" s="2" t="s">
        <v>594</v>
      </c>
      <c r="F260" s="90">
        <v>5</v>
      </c>
      <c r="G260" s="90">
        <v>6</v>
      </c>
      <c r="H260" s="88">
        <v>5861.8</v>
      </c>
      <c r="I260" s="89">
        <v>2954.9</v>
      </c>
      <c r="J260" s="89">
        <f>I260-451.9</f>
        <v>2503</v>
      </c>
      <c r="K260" s="90">
        <v>217</v>
      </c>
      <c r="L260" s="89">
        <f>'Таблица 2, 3 виды ремонта'!C255</f>
        <v>2892820</v>
      </c>
      <c r="M260" s="1">
        <v>0</v>
      </c>
      <c r="N260" s="1">
        <v>0</v>
      </c>
      <c r="O260" s="1">
        <v>0</v>
      </c>
      <c r="P260" s="89">
        <f t="shared" si="8"/>
        <v>2892820</v>
      </c>
      <c r="Q260" s="91" t="s">
        <v>339</v>
      </c>
      <c r="R260" s="25"/>
      <c r="S260" s="26" t="s">
        <v>587</v>
      </c>
      <c r="T260" s="29" t="s">
        <v>331</v>
      </c>
      <c r="U260" s="31" t="s">
        <v>586</v>
      </c>
    </row>
    <row r="261" spans="1:21" ht="16.5" customHeight="1">
      <c r="A261" s="3" t="s">
        <v>294</v>
      </c>
      <c r="B261" s="87" t="s">
        <v>548</v>
      </c>
      <c r="C261" s="2">
        <v>1967</v>
      </c>
      <c r="D261" s="85" t="s">
        <v>99</v>
      </c>
      <c r="E261" s="2" t="s">
        <v>594</v>
      </c>
      <c r="F261" s="90">
        <v>5</v>
      </c>
      <c r="G261" s="90">
        <v>4</v>
      </c>
      <c r="H261" s="88">
        <v>3326.9</v>
      </c>
      <c r="I261" s="89">
        <v>2247.3</v>
      </c>
      <c r="J261" s="89">
        <f>I261-0</f>
        <v>2247.3</v>
      </c>
      <c r="K261" s="90">
        <v>178</v>
      </c>
      <c r="L261" s="89">
        <f>'Таблица 2, 3 виды ремонта'!C256</f>
        <v>1000000</v>
      </c>
      <c r="M261" s="1">
        <v>0</v>
      </c>
      <c r="N261" s="1">
        <v>0</v>
      </c>
      <c r="O261" s="1">
        <v>0</v>
      </c>
      <c r="P261" s="89">
        <f t="shared" si="8"/>
        <v>1000000</v>
      </c>
      <c r="Q261" s="91" t="s">
        <v>339</v>
      </c>
      <c r="R261" s="25"/>
      <c r="S261" s="26" t="s">
        <v>590</v>
      </c>
      <c r="T261" s="29" t="s">
        <v>319</v>
      </c>
      <c r="U261" s="31" t="s">
        <v>591</v>
      </c>
    </row>
    <row r="262" spans="1:21" ht="16.5" customHeight="1">
      <c r="A262" s="3" t="s">
        <v>295</v>
      </c>
      <c r="B262" s="87" t="s">
        <v>549</v>
      </c>
      <c r="C262" s="2">
        <v>1971</v>
      </c>
      <c r="D262" s="85" t="s">
        <v>99</v>
      </c>
      <c r="E262" s="2" t="s">
        <v>595</v>
      </c>
      <c r="F262" s="90">
        <v>5</v>
      </c>
      <c r="G262" s="90">
        <v>4</v>
      </c>
      <c r="H262" s="88">
        <v>3796.38</v>
      </c>
      <c r="I262" s="89">
        <v>3520.38</v>
      </c>
      <c r="J262" s="89">
        <f>I262-386.5</f>
        <v>3133.88</v>
      </c>
      <c r="K262" s="90">
        <v>165</v>
      </c>
      <c r="L262" s="89">
        <f>'Таблица 2, 3 виды ремонта'!C257</f>
        <v>2621920</v>
      </c>
      <c r="M262" s="1">
        <v>0</v>
      </c>
      <c r="N262" s="1">
        <v>0</v>
      </c>
      <c r="O262" s="1">
        <v>0</v>
      </c>
      <c r="P262" s="89">
        <f t="shared" si="8"/>
        <v>2621920</v>
      </c>
      <c r="Q262" s="91" t="s">
        <v>339</v>
      </c>
      <c r="R262" s="25"/>
      <c r="S262" s="26" t="s">
        <v>590</v>
      </c>
      <c r="T262" s="29" t="s">
        <v>326</v>
      </c>
      <c r="U262" s="31" t="s">
        <v>586</v>
      </c>
    </row>
    <row r="263" spans="1:21" ht="16.5" customHeight="1">
      <c r="A263" s="3" t="s">
        <v>296</v>
      </c>
      <c r="B263" s="87" t="s">
        <v>550</v>
      </c>
      <c r="C263" s="2">
        <v>1976</v>
      </c>
      <c r="D263" s="85" t="s">
        <v>99</v>
      </c>
      <c r="E263" s="2" t="s">
        <v>595</v>
      </c>
      <c r="F263" s="2">
        <v>5</v>
      </c>
      <c r="G263" s="2">
        <v>6</v>
      </c>
      <c r="H263" s="88">
        <v>3987.2</v>
      </c>
      <c r="I263" s="88">
        <v>2754.1</v>
      </c>
      <c r="J263" s="88">
        <f>I263-0</f>
        <v>2754.1</v>
      </c>
      <c r="K263" s="2">
        <v>170</v>
      </c>
      <c r="L263" s="89">
        <f>'Таблица 2, 3 виды ремонта'!C258</f>
        <v>120000</v>
      </c>
      <c r="M263" s="89">
        <v>0</v>
      </c>
      <c r="N263" s="89">
        <v>0</v>
      </c>
      <c r="O263" s="89">
        <v>0</v>
      </c>
      <c r="P263" s="89">
        <f t="shared" si="8"/>
        <v>120000</v>
      </c>
      <c r="Q263" s="2" t="s">
        <v>339</v>
      </c>
      <c r="R263" s="27"/>
      <c r="S263" s="26" t="s">
        <v>590</v>
      </c>
      <c r="T263" s="29" t="s">
        <v>319</v>
      </c>
      <c r="U263" s="31" t="s">
        <v>586</v>
      </c>
    </row>
    <row r="264" spans="1:19" s="7" customFormat="1" ht="16.5" customHeight="1">
      <c r="A264" s="112" t="s">
        <v>104</v>
      </c>
      <c r="B264" s="112"/>
      <c r="C264" s="86" t="s">
        <v>14</v>
      </c>
      <c r="D264" s="86" t="s">
        <v>14</v>
      </c>
      <c r="E264" s="86" t="s">
        <v>14</v>
      </c>
      <c r="F264" s="86" t="s">
        <v>14</v>
      </c>
      <c r="G264" s="86" t="s">
        <v>14</v>
      </c>
      <c r="H264" s="1">
        <f aca="true" t="shared" si="10" ref="H264:P264">SUM(H21:H263)</f>
        <v>861025.5799999997</v>
      </c>
      <c r="I264" s="1">
        <f t="shared" si="10"/>
        <v>679331.3600000001</v>
      </c>
      <c r="J264" s="1">
        <f t="shared" si="10"/>
        <v>615923.8500000001</v>
      </c>
      <c r="K264" s="2">
        <f t="shared" si="10"/>
        <v>33576</v>
      </c>
      <c r="L264" s="1">
        <f t="shared" si="10"/>
        <v>349887504.22</v>
      </c>
      <c r="M264" s="1">
        <f t="shared" si="10"/>
        <v>0</v>
      </c>
      <c r="N264" s="1">
        <f t="shared" si="10"/>
        <v>0</v>
      </c>
      <c r="O264" s="1">
        <f t="shared" si="10"/>
        <v>0</v>
      </c>
      <c r="P264" s="1">
        <f t="shared" si="10"/>
        <v>349887504.22</v>
      </c>
      <c r="Q264" s="1" t="s">
        <v>14</v>
      </c>
      <c r="R264" s="27"/>
      <c r="S264" s="22"/>
    </row>
    <row r="265" spans="1:19" ht="13.5">
      <c r="A265" s="50"/>
      <c r="B265" s="51"/>
      <c r="C265" s="52"/>
      <c r="D265" s="21"/>
      <c r="E265" s="21"/>
      <c r="F265" s="21"/>
      <c r="G265" s="21"/>
      <c r="H265" s="21"/>
      <c r="I265" s="21"/>
      <c r="J265" s="21"/>
      <c r="K265" s="52"/>
      <c r="L265" s="52"/>
      <c r="M265" s="21"/>
      <c r="N265" s="21"/>
      <c r="O265" s="21"/>
      <c r="P265" s="21"/>
      <c r="Q265" s="21"/>
      <c r="R265" s="27"/>
      <c r="S265" s="22"/>
    </row>
    <row r="266" spans="2:18" ht="13.5">
      <c r="B266" s="5"/>
      <c r="R266" s="25"/>
    </row>
  </sheetData>
  <sheetProtection/>
  <mergeCells count="29">
    <mergeCell ref="N2:Q2"/>
    <mergeCell ref="N3:Q3"/>
    <mergeCell ref="N4:Q4"/>
    <mergeCell ref="N5:Q5"/>
    <mergeCell ref="A12:Q12"/>
    <mergeCell ref="A8:Q8"/>
    <mergeCell ref="P10:Q10"/>
    <mergeCell ref="N6:Q6"/>
    <mergeCell ref="N7:Q7"/>
    <mergeCell ref="A264:B264"/>
    <mergeCell ref="L16:L17"/>
    <mergeCell ref="G15:G18"/>
    <mergeCell ref="J16:J17"/>
    <mergeCell ref="D16:D18"/>
    <mergeCell ref="E15:E18"/>
    <mergeCell ref="I15:J15"/>
    <mergeCell ref="A20:Q20"/>
    <mergeCell ref="A15:A18"/>
    <mergeCell ref="Q15:Q18"/>
    <mergeCell ref="I16:I17"/>
    <mergeCell ref="K15:K17"/>
    <mergeCell ref="L15:P15"/>
    <mergeCell ref="M16:P16"/>
    <mergeCell ref="B15:B18"/>
    <mergeCell ref="C15:D15"/>
    <mergeCell ref="C16:C18"/>
    <mergeCell ref="F15:F18"/>
    <mergeCell ref="H15:H17"/>
  </mergeCells>
  <conditionalFormatting sqref="B21:B263">
    <cfRule type="duplicateValues" priority="67" dxfId="1" stopIfTrue="1">
      <formula>AND(COUNTIF($B$21:$B$263,B21)&gt;1,NOT(ISBLANK(B21)))</formula>
    </cfRule>
  </conditionalFormatting>
  <printOptions horizontalCentered="1"/>
  <pageMargins left="0.2362204724409449" right="0.2362204724409449" top="1.01" bottom="0.5905511811023623" header="0.7" footer="0.31496062992125984"/>
  <pageSetup firstPageNumber="2" useFirstPageNumber="1" fitToHeight="9999" fitToWidth="1" horizontalDpi="600" verticalDpi="600" orientation="landscape" paperSize="9" scale="63" r:id="rId1"/>
  <headerFooter>
    <oddHeader>&amp;R&amp;P</oddHeader>
  </headerFooter>
  <rowBreaks count="1" manualBreakCount="1">
    <brk id="21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4:W276"/>
  <sheetViews>
    <sheetView view="pageBreakPreview" zoomScale="60" zoomScaleNormal="75" zoomScalePageLayoutView="0" workbookViewId="0" topLeftCell="C4">
      <selection activeCell="R269" sqref="R269"/>
    </sheetView>
  </sheetViews>
  <sheetFormatPr defaultColWidth="9.140625" defaultRowHeight="15"/>
  <cols>
    <col min="1" max="1" width="5.7109375" style="54" customWidth="1"/>
    <col min="2" max="2" width="62.57421875" style="54" customWidth="1"/>
    <col min="3" max="3" width="17.57421875" style="54" customWidth="1"/>
    <col min="4" max="4" width="16.421875" style="54" customWidth="1"/>
    <col min="5" max="5" width="15.7109375" style="54" customWidth="1"/>
    <col min="6" max="6" width="7.7109375" style="54" customWidth="1"/>
    <col min="7" max="7" width="18.00390625" style="54" customWidth="1"/>
    <col min="8" max="8" width="16.8515625" style="54" customWidth="1"/>
    <col min="9" max="9" width="14.57421875" style="54" customWidth="1"/>
    <col min="10" max="10" width="6.7109375" style="54" customWidth="1"/>
    <col min="11" max="11" width="18.140625" style="54" customWidth="1"/>
    <col min="12" max="12" width="15.7109375" style="54" customWidth="1"/>
    <col min="13" max="13" width="19.140625" style="54" customWidth="1"/>
    <col min="14" max="14" width="6.8515625" style="54" customWidth="1"/>
    <col min="15" max="15" width="6.421875" style="54" customWidth="1"/>
    <col min="16" max="16" width="13.7109375" style="55" customWidth="1"/>
    <col min="17" max="17" width="16.28125" style="55" customWidth="1"/>
    <col min="18" max="18" width="9.57421875" style="54" customWidth="1"/>
    <col min="19" max="19" width="6.7109375" style="54" customWidth="1"/>
    <col min="20" max="20" width="7.421875" style="54" customWidth="1"/>
    <col min="21" max="21" width="17.140625" style="54" customWidth="1"/>
    <col min="22" max="22" width="16.00390625" style="55" customWidth="1"/>
    <col min="23" max="23" width="18.28125" style="55" customWidth="1"/>
    <col min="24" max="16384" width="9.140625" style="54" customWidth="1"/>
  </cols>
  <sheetData>
    <row r="3" ht="18" customHeight="1"/>
    <row r="4" spans="22:23" ht="15" customHeight="1">
      <c r="V4" s="124" t="s">
        <v>178</v>
      </c>
      <c r="W4" s="124"/>
    </row>
    <row r="5" ht="15" customHeight="1"/>
    <row r="6" spans="19:23" ht="15" customHeight="1">
      <c r="S6" s="56"/>
      <c r="T6" s="56"/>
      <c r="U6" s="57"/>
      <c r="W6" s="58"/>
    </row>
    <row r="7" spans="1:23" ht="15" customHeight="1">
      <c r="A7" s="144" t="s">
        <v>179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</row>
    <row r="8" spans="1:23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55" customFormat="1" ht="108" customHeight="1">
      <c r="A10" s="129" t="s">
        <v>180</v>
      </c>
      <c r="B10" s="129" t="s">
        <v>1</v>
      </c>
      <c r="C10" s="133" t="s">
        <v>181</v>
      </c>
      <c r="D10" s="129" t="s">
        <v>182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46" t="s">
        <v>183</v>
      </c>
      <c r="T10" s="147"/>
      <c r="U10" s="148"/>
      <c r="V10" s="148"/>
      <c r="W10" s="132"/>
    </row>
    <row r="11" spans="1:23" s="55" customFormat="1" ht="70.5" customHeight="1">
      <c r="A11" s="129"/>
      <c r="B11" s="129"/>
      <c r="C11" s="145"/>
      <c r="D11" s="146" t="s">
        <v>184</v>
      </c>
      <c r="E11" s="147"/>
      <c r="F11" s="147"/>
      <c r="G11" s="147"/>
      <c r="H11" s="147"/>
      <c r="I11" s="158"/>
      <c r="J11" s="135" t="s">
        <v>185</v>
      </c>
      <c r="K11" s="136"/>
      <c r="L11" s="135" t="s">
        <v>186</v>
      </c>
      <c r="M11" s="136"/>
      <c r="N11" s="135" t="s">
        <v>187</v>
      </c>
      <c r="O11" s="136"/>
      <c r="P11" s="135" t="s">
        <v>188</v>
      </c>
      <c r="Q11" s="136"/>
      <c r="R11" s="133" t="s">
        <v>189</v>
      </c>
      <c r="S11" s="135" t="s">
        <v>190</v>
      </c>
      <c r="T11" s="136"/>
      <c r="U11" s="133" t="s">
        <v>191</v>
      </c>
      <c r="V11" s="133" t="s">
        <v>192</v>
      </c>
      <c r="W11" s="133" t="s">
        <v>193</v>
      </c>
    </row>
    <row r="12" spans="1:23" s="55" customFormat="1" ht="315" customHeight="1">
      <c r="A12" s="129"/>
      <c r="B12" s="129"/>
      <c r="C12" s="134"/>
      <c r="D12" s="59" t="s">
        <v>194</v>
      </c>
      <c r="E12" s="59" t="s">
        <v>195</v>
      </c>
      <c r="F12" s="59" t="s">
        <v>297</v>
      </c>
      <c r="G12" s="59" t="s">
        <v>196</v>
      </c>
      <c r="H12" s="59" t="s">
        <v>197</v>
      </c>
      <c r="I12" s="59" t="s">
        <v>198</v>
      </c>
      <c r="J12" s="137"/>
      <c r="K12" s="138"/>
      <c r="L12" s="137"/>
      <c r="M12" s="138"/>
      <c r="N12" s="137"/>
      <c r="O12" s="138"/>
      <c r="P12" s="137"/>
      <c r="Q12" s="138"/>
      <c r="R12" s="134"/>
      <c r="S12" s="137"/>
      <c r="T12" s="138"/>
      <c r="U12" s="134"/>
      <c r="V12" s="159"/>
      <c r="W12" s="134"/>
    </row>
    <row r="13" spans="1:23" ht="18" customHeight="1">
      <c r="A13" s="129"/>
      <c r="B13" s="129"/>
      <c r="C13" s="59" t="s">
        <v>13</v>
      </c>
      <c r="D13" s="59" t="s">
        <v>13</v>
      </c>
      <c r="E13" s="59" t="s">
        <v>13</v>
      </c>
      <c r="F13" s="59" t="s">
        <v>13</v>
      </c>
      <c r="G13" s="59" t="s">
        <v>13</v>
      </c>
      <c r="H13" s="59" t="s">
        <v>13</v>
      </c>
      <c r="I13" s="59" t="s">
        <v>13</v>
      </c>
      <c r="J13" s="59" t="s">
        <v>199</v>
      </c>
      <c r="K13" s="59" t="s">
        <v>13</v>
      </c>
      <c r="L13" s="59" t="s">
        <v>103</v>
      </c>
      <c r="M13" s="59" t="s">
        <v>13</v>
      </c>
      <c r="N13" s="59" t="s">
        <v>103</v>
      </c>
      <c r="O13" s="59" t="s">
        <v>13</v>
      </c>
      <c r="P13" s="59" t="s">
        <v>103</v>
      </c>
      <c r="Q13" s="59" t="s">
        <v>13</v>
      </c>
      <c r="R13" s="59" t="s">
        <v>13</v>
      </c>
      <c r="S13" s="59" t="s">
        <v>103</v>
      </c>
      <c r="T13" s="59" t="s">
        <v>13</v>
      </c>
      <c r="U13" s="59" t="s">
        <v>200</v>
      </c>
      <c r="V13" s="59" t="s">
        <v>13</v>
      </c>
      <c r="W13" s="59" t="s">
        <v>13</v>
      </c>
    </row>
    <row r="14" spans="1:23" ht="15" customHeight="1">
      <c r="A14" s="60">
        <v>1</v>
      </c>
      <c r="B14" s="60">
        <v>2</v>
      </c>
      <c r="C14" s="60">
        <v>3</v>
      </c>
      <c r="D14" s="60">
        <v>4</v>
      </c>
      <c r="E14" s="60">
        <v>5</v>
      </c>
      <c r="F14" s="60">
        <v>6</v>
      </c>
      <c r="G14" s="60">
        <v>7</v>
      </c>
      <c r="H14" s="60">
        <v>8</v>
      </c>
      <c r="I14" s="60">
        <v>9</v>
      </c>
      <c r="J14" s="60">
        <v>10</v>
      </c>
      <c r="K14" s="60">
        <v>11</v>
      </c>
      <c r="L14" s="60">
        <v>12</v>
      </c>
      <c r="M14" s="60">
        <v>13</v>
      </c>
      <c r="N14" s="60">
        <v>14</v>
      </c>
      <c r="O14" s="60">
        <v>15</v>
      </c>
      <c r="P14" s="60">
        <v>16</v>
      </c>
      <c r="Q14" s="60">
        <v>17</v>
      </c>
      <c r="R14" s="60">
        <v>18</v>
      </c>
      <c r="S14" s="60">
        <v>19</v>
      </c>
      <c r="T14" s="60">
        <v>20</v>
      </c>
      <c r="U14" s="60">
        <v>21</v>
      </c>
      <c r="V14" s="60">
        <v>22</v>
      </c>
      <c r="W14" s="60">
        <v>23</v>
      </c>
    </row>
    <row r="15" spans="1:23" ht="19.5" customHeight="1">
      <c r="A15" s="160" t="s">
        <v>201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</row>
    <row r="16" spans="1:23" ht="24" customHeight="1">
      <c r="A16" s="60" t="s">
        <v>15</v>
      </c>
      <c r="B16" s="61" t="s">
        <v>383</v>
      </c>
      <c r="C16" s="62">
        <f>D16+E16+F16+G16+H16+I16+K16+M16+O16+Q16+R16+T16+U16+V16+W16</f>
        <v>1400000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800</v>
      </c>
      <c r="M16" s="62">
        <v>1300000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100000</v>
      </c>
    </row>
    <row r="17" spans="1:23" ht="24" customHeight="1">
      <c r="A17" s="60" t="s">
        <v>16</v>
      </c>
      <c r="B17" s="61" t="s">
        <v>344</v>
      </c>
      <c r="C17" s="62">
        <f aca="true" t="shared" si="0" ref="C17:C36">D17+E17+F17+G17+H17+I17+K17+M17+O17+Q17+R17+T17+U17+V17+W17</f>
        <v>100000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100000</v>
      </c>
    </row>
    <row r="18" spans="1:23" ht="24" customHeight="1">
      <c r="A18" s="60" t="s">
        <v>17</v>
      </c>
      <c r="B18" s="61" t="s">
        <v>571</v>
      </c>
      <c r="C18" s="62">
        <f t="shared" si="0"/>
        <v>350000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150</v>
      </c>
      <c r="M18" s="62">
        <v>250000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100000</v>
      </c>
    </row>
    <row r="19" spans="1:23" ht="24" customHeight="1">
      <c r="A19" s="60" t="s">
        <v>18</v>
      </c>
      <c r="B19" s="61" t="s">
        <v>380</v>
      </c>
      <c r="C19" s="62">
        <f t="shared" si="0"/>
        <v>1200000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500</v>
      </c>
      <c r="M19" s="62">
        <v>700000</v>
      </c>
      <c r="N19" s="62">
        <v>0</v>
      </c>
      <c r="O19" s="62">
        <v>0</v>
      </c>
      <c r="P19" s="62">
        <v>400</v>
      </c>
      <c r="Q19" s="62">
        <f>P19*1000</f>
        <v>400000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100000</v>
      </c>
    </row>
    <row r="20" spans="1:23" ht="24" customHeight="1">
      <c r="A20" s="60" t="s">
        <v>19</v>
      </c>
      <c r="B20" s="61" t="s">
        <v>381</v>
      </c>
      <c r="C20" s="62">
        <f t="shared" si="0"/>
        <v>2293706</v>
      </c>
      <c r="D20" s="62">
        <v>0</v>
      </c>
      <c r="E20" s="62">
        <v>0</v>
      </c>
      <c r="F20" s="62">
        <v>0</v>
      </c>
      <c r="G20" s="62">
        <v>786122</v>
      </c>
      <c r="H20" s="62">
        <v>380420</v>
      </c>
      <c r="I20" s="62">
        <v>0</v>
      </c>
      <c r="J20" s="62">
        <v>0</v>
      </c>
      <c r="K20" s="62">
        <v>0</v>
      </c>
      <c r="L20" s="62">
        <v>1009</v>
      </c>
      <c r="M20" s="62">
        <v>1027164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100000</v>
      </c>
    </row>
    <row r="21" spans="1:23" ht="24" customHeight="1">
      <c r="A21" s="60" t="s">
        <v>20</v>
      </c>
      <c r="B21" s="61" t="s">
        <v>382</v>
      </c>
      <c r="C21" s="62">
        <f t="shared" si="0"/>
        <v>606984</v>
      </c>
      <c r="D21" s="62">
        <v>0</v>
      </c>
      <c r="E21" s="62">
        <v>0</v>
      </c>
      <c r="F21" s="62">
        <v>0</v>
      </c>
      <c r="G21" s="62">
        <v>0</v>
      </c>
      <c r="H21" s="62">
        <v>396140</v>
      </c>
      <c r="I21" s="62">
        <v>0</v>
      </c>
      <c r="J21" s="62">
        <v>0</v>
      </c>
      <c r="K21" s="62">
        <v>0</v>
      </c>
      <c r="L21" s="62">
        <v>100</v>
      </c>
      <c r="M21" s="62">
        <v>110844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100000</v>
      </c>
    </row>
    <row r="22" spans="1:23" ht="24" customHeight="1">
      <c r="A22" s="60" t="s">
        <v>21</v>
      </c>
      <c r="B22" s="61" t="s">
        <v>379</v>
      </c>
      <c r="C22" s="62">
        <f t="shared" si="0"/>
        <v>18522.84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18522.84</v>
      </c>
    </row>
    <row r="23" spans="1:23" ht="24" customHeight="1">
      <c r="A23" s="60" t="s">
        <v>22</v>
      </c>
      <c r="B23" s="61" t="s">
        <v>377</v>
      </c>
      <c r="C23" s="62">
        <f t="shared" si="0"/>
        <v>1582666</v>
      </c>
      <c r="D23" s="62">
        <v>0</v>
      </c>
      <c r="E23" s="62">
        <v>0</v>
      </c>
      <c r="F23" s="62">
        <v>0</v>
      </c>
      <c r="G23" s="62">
        <v>791333</v>
      </c>
      <c r="H23" s="62">
        <v>791333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</row>
    <row r="24" spans="1:23" ht="24" customHeight="1">
      <c r="A24" s="60" t="s">
        <v>23</v>
      </c>
      <c r="B24" s="61" t="s">
        <v>378</v>
      </c>
      <c r="C24" s="62">
        <f t="shared" si="0"/>
        <v>350000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150</v>
      </c>
      <c r="M24" s="62">
        <v>250000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100000</v>
      </c>
    </row>
    <row r="25" spans="1:23" ht="24" customHeight="1">
      <c r="A25" s="60" t="s">
        <v>301</v>
      </c>
      <c r="B25" s="61" t="s">
        <v>372</v>
      </c>
      <c r="C25" s="62">
        <f t="shared" si="0"/>
        <v>16760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16760</v>
      </c>
    </row>
    <row r="26" spans="1:23" ht="24" customHeight="1">
      <c r="A26" s="60" t="s">
        <v>24</v>
      </c>
      <c r="B26" s="61" t="s">
        <v>373</v>
      </c>
      <c r="C26" s="62">
        <f t="shared" si="0"/>
        <v>16760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16760</v>
      </c>
    </row>
    <row r="27" spans="1:23" ht="24" customHeight="1">
      <c r="A27" s="60" t="s">
        <v>25</v>
      </c>
      <c r="B27" s="61" t="s">
        <v>374</v>
      </c>
      <c r="C27" s="62">
        <f t="shared" si="0"/>
        <v>563999.19</v>
      </c>
      <c r="D27" s="62">
        <v>0</v>
      </c>
      <c r="E27" s="62">
        <v>0</v>
      </c>
      <c r="F27" s="62">
        <v>0</v>
      </c>
      <c r="G27" s="62">
        <v>0</v>
      </c>
      <c r="H27" s="62">
        <v>92656</v>
      </c>
      <c r="I27" s="62">
        <v>0</v>
      </c>
      <c r="J27" s="62">
        <v>0</v>
      </c>
      <c r="K27" s="62">
        <v>0</v>
      </c>
      <c r="L27" s="62">
        <v>700</v>
      </c>
      <c r="M27" s="62">
        <v>371343.19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100000</v>
      </c>
    </row>
    <row r="28" spans="1:23" ht="24" customHeight="1">
      <c r="A28" s="60" t="s">
        <v>26</v>
      </c>
      <c r="B28" s="61" t="s">
        <v>375</v>
      </c>
      <c r="C28" s="62">
        <f t="shared" si="0"/>
        <v>500000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250</v>
      </c>
      <c r="M28" s="62">
        <v>400000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100000</v>
      </c>
    </row>
    <row r="29" spans="1:23" ht="24" customHeight="1">
      <c r="A29" s="60" t="s">
        <v>27</v>
      </c>
      <c r="B29" s="61" t="s">
        <v>354</v>
      </c>
      <c r="C29" s="62">
        <f t="shared" si="0"/>
        <v>1250000</v>
      </c>
      <c r="D29" s="62">
        <v>0</v>
      </c>
      <c r="E29" s="62">
        <v>0</v>
      </c>
      <c r="F29" s="62">
        <v>0</v>
      </c>
      <c r="G29" s="62">
        <v>0</v>
      </c>
      <c r="H29" s="62">
        <v>250000</v>
      </c>
      <c r="I29" s="62">
        <v>250000</v>
      </c>
      <c r="J29" s="62">
        <v>0</v>
      </c>
      <c r="K29" s="62">
        <v>0</v>
      </c>
      <c r="L29" s="62">
        <v>400</v>
      </c>
      <c r="M29" s="62">
        <v>650000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100000</v>
      </c>
    </row>
    <row r="30" spans="1:23" ht="24" customHeight="1">
      <c r="A30" s="60" t="s">
        <v>28</v>
      </c>
      <c r="B30" s="61" t="s">
        <v>355</v>
      </c>
      <c r="C30" s="62">
        <f t="shared" si="0"/>
        <v>1250000</v>
      </c>
      <c r="D30" s="62">
        <v>0</v>
      </c>
      <c r="E30" s="62">
        <v>0</v>
      </c>
      <c r="F30" s="62">
        <v>0</v>
      </c>
      <c r="G30" s="62">
        <v>0</v>
      </c>
      <c r="H30" s="62">
        <v>250000</v>
      </c>
      <c r="I30" s="62">
        <v>250000</v>
      </c>
      <c r="J30" s="62">
        <v>0</v>
      </c>
      <c r="K30" s="62">
        <v>0</v>
      </c>
      <c r="L30" s="62">
        <v>400</v>
      </c>
      <c r="M30" s="62">
        <v>650000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100000</v>
      </c>
    </row>
    <row r="31" spans="1:23" ht="24" customHeight="1">
      <c r="A31" s="60" t="s">
        <v>29</v>
      </c>
      <c r="B31" s="61" t="s">
        <v>376</v>
      </c>
      <c r="C31" s="62">
        <f t="shared" si="0"/>
        <v>750000</v>
      </c>
      <c r="D31" s="62">
        <v>0</v>
      </c>
      <c r="E31" s="62">
        <v>0</v>
      </c>
      <c r="F31" s="62">
        <v>0</v>
      </c>
      <c r="G31" s="62">
        <v>0</v>
      </c>
      <c r="H31" s="62">
        <v>250000</v>
      </c>
      <c r="I31" s="62">
        <v>0</v>
      </c>
      <c r="J31" s="62">
        <v>0</v>
      </c>
      <c r="K31" s="62">
        <v>0</v>
      </c>
      <c r="L31" s="62">
        <v>300</v>
      </c>
      <c r="M31" s="62">
        <v>450000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50000</v>
      </c>
    </row>
    <row r="32" spans="1:23" ht="24" customHeight="1">
      <c r="A32" s="60" t="s">
        <v>30</v>
      </c>
      <c r="B32" s="61" t="s">
        <v>584</v>
      </c>
      <c r="C32" s="62">
        <f t="shared" si="0"/>
        <v>400000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200</v>
      </c>
      <c r="M32" s="62">
        <v>350000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50000</v>
      </c>
    </row>
    <row r="33" spans="1:23" ht="24" customHeight="1">
      <c r="A33" s="60" t="s">
        <v>31</v>
      </c>
      <c r="B33" s="61" t="s">
        <v>563</v>
      </c>
      <c r="C33" s="62">
        <f t="shared" si="0"/>
        <v>1359285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820</v>
      </c>
      <c r="M33" s="62">
        <v>1259285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100000</v>
      </c>
    </row>
    <row r="34" spans="1:23" ht="24" customHeight="1">
      <c r="A34" s="60" t="s">
        <v>32</v>
      </c>
      <c r="B34" s="61" t="s">
        <v>551</v>
      </c>
      <c r="C34" s="62">
        <f t="shared" si="0"/>
        <v>750000</v>
      </c>
      <c r="D34" s="62">
        <v>0</v>
      </c>
      <c r="E34" s="62">
        <v>0</v>
      </c>
      <c r="F34" s="62">
        <v>0</v>
      </c>
      <c r="G34" s="62">
        <v>0</v>
      </c>
      <c r="H34" s="62">
        <v>250000</v>
      </c>
      <c r="I34" s="62">
        <v>0</v>
      </c>
      <c r="J34" s="62">
        <v>0</v>
      </c>
      <c r="K34" s="62">
        <v>0</v>
      </c>
      <c r="L34" s="62">
        <v>250</v>
      </c>
      <c r="M34" s="62">
        <v>400000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100000</v>
      </c>
    </row>
    <row r="35" spans="1:23" ht="24" customHeight="1">
      <c r="A35" s="60" t="s">
        <v>33</v>
      </c>
      <c r="B35" s="61" t="s">
        <v>552</v>
      </c>
      <c r="C35" s="62">
        <f t="shared" si="0"/>
        <v>700000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350</v>
      </c>
      <c r="M35" s="62">
        <v>600000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100000</v>
      </c>
    </row>
    <row r="36" spans="1:23" ht="24" customHeight="1">
      <c r="A36" s="60" t="s">
        <v>34</v>
      </c>
      <c r="B36" s="61" t="s">
        <v>553</v>
      </c>
      <c r="C36" s="62">
        <f t="shared" si="0"/>
        <v>700000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350</v>
      </c>
      <c r="M36" s="62">
        <v>600000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100000</v>
      </c>
    </row>
    <row r="37" spans="1:23" ht="24" customHeight="1">
      <c r="A37" s="60" t="s">
        <v>35</v>
      </c>
      <c r="B37" s="61" t="s">
        <v>554</v>
      </c>
      <c r="C37" s="62">
        <f aca="true" t="shared" si="1" ref="C37:C64">D37+E37+F37+G37+H37+I37+K37+M37+O37+Q37+R37+T37+U37+V37+W37</f>
        <v>700000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450</v>
      </c>
      <c r="M37" s="62">
        <v>700000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</row>
    <row r="38" spans="1:23" ht="24" customHeight="1">
      <c r="A38" s="60" t="s">
        <v>36</v>
      </c>
      <c r="B38" s="61" t="s">
        <v>557</v>
      </c>
      <c r="C38" s="62">
        <f t="shared" si="1"/>
        <v>1132500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413</v>
      </c>
      <c r="M38" s="62">
        <v>1032500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100000</v>
      </c>
    </row>
    <row r="39" spans="1:23" ht="24" customHeight="1">
      <c r="A39" s="60" t="s">
        <v>37</v>
      </c>
      <c r="B39" s="61" t="s">
        <v>555</v>
      </c>
      <c r="C39" s="62">
        <f t="shared" si="1"/>
        <v>1038440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798.8</v>
      </c>
      <c r="M39" s="62">
        <v>1038440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</row>
    <row r="40" spans="1:23" ht="24" customHeight="1">
      <c r="A40" s="60" t="s">
        <v>38</v>
      </c>
      <c r="B40" s="61" t="s">
        <v>564</v>
      </c>
      <c r="C40" s="62">
        <f t="shared" si="1"/>
        <v>678372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500</v>
      </c>
      <c r="M40" s="62">
        <v>578372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100000</v>
      </c>
    </row>
    <row r="41" spans="1:23" ht="24" customHeight="1">
      <c r="A41" s="60" t="s">
        <v>39</v>
      </c>
      <c r="B41" s="61" t="s">
        <v>356</v>
      </c>
      <c r="C41" s="62">
        <f t="shared" si="1"/>
        <v>725950</v>
      </c>
      <c r="D41" s="62">
        <v>0</v>
      </c>
      <c r="E41" s="62">
        <v>0</v>
      </c>
      <c r="F41" s="62">
        <v>0</v>
      </c>
      <c r="G41" s="62">
        <v>292950</v>
      </c>
      <c r="H41" s="62">
        <v>333000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100000</v>
      </c>
    </row>
    <row r="42" spans="1:23" ht="24" customHeight="1">
      <c r="A42" s="60" t="s">
        <v>40</v>
      </c>
      <c r="B42" s="61" t="s">
        <v>357</v>
      </c>
      <c r="C42" s="62">
        <f t="shared" si="1"/>
        <v>1150560</v>
      </c>
      <c r="D42" s="62">
        <v>0</v>
      </c>
      <c r="E42" s="62">
        <v>0</v>
      </c>
      <c r="F42" s="62">
        <v>0</v>
      </c>
      <c r="G42" s="62">
        <v>251100</v>
      </c>
      <c r="H42" s="62">
        <v>298960</v>
      </c>
      <c r="I42" s="62">
        <v>0</v>
      </c>
      <c r="J42" s="62">
        <v>0</v>
      </c>
      <c r="K42" s="62">
        <v>0</v>
      </c>
      <c r="L42" s="62">
        <v>385</v>
      </c>
      <c r="M42" s="62">
        <v>500500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100000</v>
      </c>
    </row>
    <row r="43" spans="1:23" ht="24" customHeight="1">
      <c r="A43" s="60" t="s">
        <v>41</v>
      </c>
      <c r="B43" s="61" t="s">
        <v>602</v>
      </c>
      <c r="C43" s="62">
        <f t="shared" si="1"/>
        <v>1043500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510</v>
      </c>
      <c r="M43" s="62">
        <v>943500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100000</v>
      </c>
    </row>
    <row r="44" spans="1:23" ht="24" customHeight="1">
      <c r="A44" s="60" t="s">
        <v>42</v>
      </c>
      <c r="B44" s="61" t="s">
        <v>358</v>
      </c>
      <c r="C44" s="62">
        <f t="shared" si="1"/>
        <v>800000</v>
      </c>
      <c r="D44" s="62">
        <v>0</v>
      </c>
      <c r="E44" s="62">
        <v>0</v>
      </c>
      <c r="F44" s="62">
        <v>0</v>
      </c>
      <c r="G44" s="62">
        <v>350000</v>
      </c>
      <c r="H44" s="62">
        <v>350000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100000</v>
      </c>
    </row>
    <row r="45" spans="1:23" ht="24" customHeight="1">
      <c r="A45" s="60" t="s">
        <v>43</v>
      </c>
      <c r="B45" s="61" t="s">
        <v>359</v>
      </c>
      <c r="C45" s="62">
        <f t="shared" si="1"/>
        <v>69917.81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69917.81</v>
      </c>
    </row>
    <row r="46" spans="1:23" ht="24" customHeight="1">
      <c r="A46" s="60" t="s">
        <v>44</v>
      </c>
      <c r="B46" s="61" t="s">
        <v>360</v>
      </c>
      <c r="C46" s="62">
        <f t="shared" si="1"/>
        <v>4600000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3">
        <v>3</v>
      </c>
      <c r="K46" s="62">
        <v>4500000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100000</v>
      </c>
    </row>
    <row r="47" spans="1:23" ht="24" customHeight="1">
      <c r="A47" s="60" t="s">
        <v>45</v>
      </c>
      <c r="B47" s="61" t="s">
        <v>361</v>
      </c>
      <c r="C47" s="62">
        <f t="shared" si="1"/>
        <v>3100000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3">
        <v>2</v>
      </c>
      <c r="K47" s="62">
        <v>3000000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100000</v>
      </c>
    </row>
    <row r="48" spans="1:23" ht="24" customHeight="1">
      <c r="A48" s="60" t="s">
        <v>46</v>
      </c>
      <c r="B48" s="61" t="s">
        <v>362</v>
      </c>
      <c r="C48" s="62">
        <f t="shared" si="1"/>
        <v>1600000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3">
        <v>1</v>
      </c>
      <c r="K48" s="62">
        <v>1500000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100000</v>
      </c>
    </row>
    <row r="49" spans="1:23" ht="24" customHeight="1">
      <c r="A49" s="60" t="s">
        <v>47</v>
      </c>
      <c r="B49" s="61" t="s">
        <v>363</v>
      </c>
      <c r="C49" s="62">
        <f t="shared" si="1"/>
        <v>1000000</v>
      </c>
      <c r="D49" s="62">
        <v>0</v>
      </c>
      <c r="E49" s="62">
        <v>0</v>
      </c>
      <c r="F49" s="62">
        <v>0</v>
      </c>
      <c r="G49" s="62">
        <v>450000</v>
      </c>
      <c r="H49" s="62">
        <v>450000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100000</v>
      </c>
    </row>
    <row r="50" spans="1:23" ht="24" customHeight="1">
      <c r="A50" s="60" t="s">
        <v>48</v>
      </c>
      <c r="B50" s="61" t="s">
        <v>364</v>
      </c>
      <c r="C50" s="62">
        <f t="shared" si="1"/>
        <v>550000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450</v>
      </c>
      <c r="Q50" s="62">
        <f>P50*1000</f>
        <v>450000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100000</v>
      </c>
    </row>
    <row r="51" spans="1:23" ht="24" customHeight="1">
      <c r="A51" s="60" t="s">
        <v>49</v>
      </c>
      <c r="B51" s="61" t="s">
        <v>365</v>
      </c>
      <c r="C51" s="62">
        <f t="shared" si="1"/>
        <v>60728.32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60728.32</v>
      </c>
    </row>
    <row r="52" spans="1:23" ht="24" customHeight="1">
      <c r="A52" s="60" t="s">
        <v>50</v>
      </c>
      <c r="B52" s="61" t="s">
        <v>366</v>
      </c>
      <c r="C52" s="62">
        <f t="shared" si="1"/>
        <v>800000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450</v>
      </c>
      <c r="M52" s="62">
        <v>700000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100000</v>
      </c>
    </row>
    <row r="53" spans="1:23" ht="24" customHeight="1">
      <c r="A53" s="60" t="s">
        <v>51</v>
      </c>
      <c r="B53" s="61" t="s">
        <v>367</v>
      </c>
      <c r="C53" s="62">
        <f t="shared" si="1"/>
        <v>1550000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650</v>
      </c>
      <c r="M53" s="62">
        <v>1000000</v>
      </c>
      <c r="N53" s="62">
        <v>0</v>
      </c>
      <c r="O53" s="62">
        <v>0</v>
      </c>
      <c r="P53" s="62">
        <v>500</v>
      </c>
      <c r="Q53" s="62">
        <f>P53*1000</f>
        <v>500000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50000</v>
      </c>
    </row>
    <row r="54" spans="1:23" ht="24" customHeight="1">
      <c r="A54" s="60" t="s">
        <v>52</v>
      </c>
      <c r="B54" s="61" t="s">
        <v>368</v>
      </c>
      <c r="C54" s="62">
        <f t="shared" si="1"/>
        <v>550000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450</v>
      </c>
      <c r="Q54" s="62">
        <f>P54*1000</f>
        <v>450000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100000</v>
      </c>
    </row>
    <row r="55" spans="1:23" ht="24" customHeight="1">
      <c r="A55" s="60" t="s">
        <v>53</v>
      </c>
      <c r="B55" s="61" t="s">
        <v>369</v>
      </c>
      <c r="C55" s="62">
        <f t="shared" si="1"/>
        <v>550000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450</v>
      </c>
      <c r="Q55" s="62">
        <f>P55*1000</f>
        <v>450000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100000</v>
      </c>
    </row>
    <row r="56" spans="1:23" ht="24" customHeight="1">
      <c r="A56" s="60" t="s">
        <v>54</v>
      </c>
      <c r="B56" s="61" t="s">
        <v>568</v>
      </c>
      <c r="C56" s="62">
        <f t="shared" si="1"/>
        <v>3284534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600</v>
      </c>
      <c r="M56" s="62">
        <v>1312174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1972360</v>
      </c>
    </row>
    <row r="57" spans="1:23" ht="24" customHeight="1">
      <c r="A57" s="60" t="s">
        <v>55</v>
      </c>
      <c r="B57" s="61" t="s">
        <v>570</v>
      </c>
      <c r="C57" s="62">
        <f t="shared" si="1"/>
        <v>1412174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848</v>
      </c>
      <c r="M57" s="62">
        <v>1312174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100000</v>
      </c>
    </row>
    <row r="58" spans="1:23" ht="24" customHeight="1">
      <c r="A58" s="60" t="s">
        <v>56</v>
      </c>
      <c r="B58" s="61" t="s">
        <v>370</v>
      </c>
      <c r="C58" s="62">
        <f t="shared" si="1"/>
        <v>1500000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800</v>
      </c>
      <c r="M58" s="62">
        <v>1500000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</row>
    <row r="59" spans="1:23" ht="24" customHeight="1">
      <c r="A59" s="60" t="s">
        <v>57</v>
      </c>
      <c r="B59" s="61" t="s">
        <v>371</v>
      </c>
      <c r="C59" s="62">
        <f t="shared" si="1"/>
        <v>1480000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800</v>
      </c>
      <c r="M59" s="62">
        <v>1480000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</row>
    <row r="60" spans="1:23" ht="24" customHeight="1">
      <c r="A60" s="60" t="s">
        <v>58</v>
      </c>
      <c r="B60" s="61" t="s">
        <v>384</v>
      </c>
      <c r="C60" s="62">
        <f t="shared" si="1"/>
        <v>500000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250</v>
      </c>
      <c r="M60" s="62">
        <v>400000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100000</v>
      </c>
    </row>
    <row r="61" spans="1:23" ht="24" customHeight="1">
      <c r="A61" s="60" t="s">
        <v>59</v>
      </c>
      <c r="B61" s="61" t="s">
        <v>507</v>
      </c>
      <c r="C61" s="62">
        <f t="shared" si="1"/>
        <v>500000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250</v>
      </c>
      <c r="M61" s="62">
        <v>400000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100000</v>
      </c>
    </row>
    <row r="62" spans="1:23" ht="24" customHeight="1">
      <c r="A62" s="60" t="s">
        <v>302</v>
      </c>
      <c r="B62" s="61" t="s">
        <v>508</v>
      </c>
      <c r="C62" s="62">
        <f t="shared" si="1"/>
        <v>2139559</v>
      </c>
      <c r="D62" s="62">
        <v>0</v>
      </c>
      <c r="E62" s="62">
        <v>2039559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100000</v>
      </c>
    </row>
    <row r="63" spans="1:23" ht="24" customHeight="1">
      <c r="A63" s="60" t="s">
        <v>60</v>
      </c>
      <c r="B63" s="61" t="s">
        <v>509</v>
      </c>
      <c r="C63" s="62">
        <f t="shared" si="1"/>
        <v>1050000</v>
      </c>
      <c r="D63" s="62">
        <v>0</v>
      </c>
      <c r="E63" s="62">
        <v>0</v>
      </c>
      <c r="F63" s="62">
        <v>0</v>
      </c>
      <c r="G63" s="62">
        <v>0</v>
      </c>
      <c r="H63" s="62">
        <v>350000</v>
      </c>
      <c r="I63" s="62">
        <v>0</v>
      </c>
      <c r="J63" s="62">
        <v>0</v>
      </c>
      <c r="K63" s="62">
        <v>0</v>
      </c>
      <c r="L63" s="62">
        <v>350</v>
      </c>
      <c r="M63" s="62">
        <v>600000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100000</v>
      </c>
    </row>
    <row r="64" spans="1:23" ht="24" customHeight="1">
      <c r="A64" s="60" t="s">
        <v>61</v>
      </c>
      <c r="B64" s="61" t="s">
        <v>603</v>
      </c>
      <c r="C64" s="62">
        <f t="shared" si="1"/>
        <v>496804</v>
      </c>
      <c r="D64" s="62">
        <v>396804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100000</v>
      </c>
    </row>
    <row r="65" spans="1:23" ht="24" customHeight="1">
      <c r="A65" s="60" t="s">
        <v>62</v>
      </c>
      <c r="B65" s="61" t="s">
        <v>565</v>
      </c>
      <c r="C65" s="62">
        <f aca="true" t="shared" si="2" ref="C65:C90">D65+E65+F65+G65+H65+I65+K65+M65+O65+Q65+R65+T65+U65+V65+W65</f>
        <v>700000</v>
      </c>
      <c r="D65" s="62">
        <v>350000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150</v>
      </c>
      <c r="M65" s="62">
        <v>250000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100000</v>
      </c>
    </row>
    <row r="66" spans="1:23" ht="24" customHeight="1">
      <c r="A66" s="60" t="s">
        <v>63</v>
      </c>
      <c r="B66" s="61" t="s">
        <v>569</v>
      </c>
      <c r="C66" s="62">
        <f t="shared" si="2"/>
        <v>863354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522</v>
      </c>
      <c r="M66" s="62">
        <v>763354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100000</v>
      </c>
    </row>
    <row r="67" spans="1:23" ht="24" customHeight="1">
      <c r="A67" s="60" t="s">
        <v>64</v>
      </c>
      <c r="B67" s="61" t="s">
        <v>497</v>
      </c>
      <c r="C67" s="62">
        <f t="shared" si="2"/>
        <v>1300000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700</v>
      </c>
      <c r="M67" s="62">
        <v>1200000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100000</v>
      </c>
    </row>
    <row r="68" spans="1:23" ht="24" customHeight="1">
      <c r="A68" s="60" t="s">
        <v>65</v>
      </c>
      <c r="B68" s="61" t="s">
        <v>385</v>
      </c>
      <c r="C68" s="62">
        <f t="shared" si="2"/>
        <v>890400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450</v>
      </c>
      <c r="M68" s="62">
        <v>790400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100000</v>
      </c>
    </row>
    <row r="69" spans="1:23" ht="24" customHeight="1">
      <c r="A69" s="60" t="s">
        <v>66</v>
      </c>
      <c r="B69" s="61" t="s">
        <v>386</v>
      </c>
      <c r="C69" s="62">
        <f t="shared" si="2"/>
        <v>2087520</v>
      </c>
      <c r="D69" s="62">
        <v>0</v>
      </c>
      <c r="E69" s="62">
        <v>0</v>
      </c>
      <c r="F69" s="62">
        <v>0</v>
      </c>
      <c r="G69" s="62">
        <v>640320</v>
      </c>
      <c r="H69" s="62">
        <v>556800</v>
      </c>
      <c r="I69" s="62">
        <v>0</v>
      </c>
      <c r="J69" s="62">
        <v>0</v>
      </c>
      <c r="K69" s="62">
        <v>0</v>
      </c>
      <c r="L69" s="62">
        <v>450</v>
      </c>
      <c r="M69" s="62">
        <v>790400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100000</v>
      </c>
    </row>
    <row r="70" spans="1:23" ht="24" customHeight="1">
      <c r="A70" s="60" t="s">
        <v>67</v>
      </c>
      <c r="B70" s="61" t="s">
        <v>387</v>
      </c>
      <c r="C70" s="62">
        <f t="shared" si="2"/>
        <v>1300000</v>
      </c>
      <c r="D70" s="62">
        <v>0</v>
      </c>
      <c r="E70" s="62">
        <v>0</v>
      </c>
      <c r="F70" s="62">
        <v>0</v>
      </c>
      <c r="G70" s="62">
        <v>250000</v>
      </c>
      <c r="H70" s="62">
        <v>250000</v>
      </c>
      <c r="I70" s="62">
        <v>0</v>
      </c>
      <c r="J70" s="62">
        <v>0</v>
      </c>
      <c r="K70" s="62">
        <v>0</v>
      </c>
      <c r="L70" s="62">
        <v>500</v>
      </c>
      <c r="M70" s="62">
        <v>700000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100000</v>
      </c>
    </row>
    <row r="71" spans="1:23" ht="24" customHeight="1">
      <c r="A71" s="60" t="s">
        <v>68</v>
      </c>
      <c r="B71" s="61" t="s">
        <v>388</v>
      </c>
      <c r="C71" s="64">
        <f t="shared" si="2"/>
        <v>8020000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5">
        <v>3</v>
      </c>
      <c r="K71" s="64">
        <v>7920000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64">
        <v>0</v>
      </c>
      <c r="V71" s="64">
        <v>0</v>
      </c>
      <c r="W71" s="64">
        <v>100000</v>
      </c>
    </row>
    <row r="72" spans="1:23" ht="24" customHeight="1">
      <c r="A72" s="60" t="s">
        <v>69</v>
      </c>
      <c r="B72" s="61" t="s">
        <v>389</v>
      </c>
      <c r="C72" s="62">
        <f t="shared" si="2"/>
        <v>2080000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3">
        <v>1</v>
      </c>
      <c r="K72" s="62">
        <v>1980000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100000</v>
      </c>
    </row>
    <row r="73" spans="1:23" ht="24" customHeight="1">
      <c r="A73" s="60" t="s">
        <v>70</v>
      </c>
      <c r="B73" s="61" t="s">
        <v>582</v>
      </c>
      <c r="C73" s="62">
        <f t="shared" si="2"/>
        <v>12258.01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12258.01</v>
      </c>
    </row>
    <row r="74" spans="1:23" ht="24" customHeight="1">
      <c r="A74" s="60" t="s">
        <v>71</v>
      </c>
      <c r="B74" s="61" t="s">
        <v>390</v>
      </c>
      <c r="C74" s="62">
        <f t="shared" si="2"/>
        <v>500000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250</v>
      </c>
      <c r="M74" s="62">
        <v>400000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100000</v>
      </c>
    </row>
    <row r="75" spans="1:23" ht="24" customHeight="1">
      <c r="A75" s="60" t="s">
        <v>72</v>
      </c>
      <c r="B75" s="61" t="s">
        <v>391</v>
      </c>
      <c r="C75" s="62">
        <f t="shared" si="2"/>
        <v>550000</v>
      </c>
      <c r="D75" s="62">
        <v>0</v>
      </c>
      <c r="E75" s="62">
        <v>0</v>
      </c>
      <c r="F75" s="62">
        <v>0</v>
      </c>
      <c r="G75" s="62">
        <v>0</v>
      </c>
      <c r="H75" s="62">
        <v>450000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100000</v>
      </c>
    </row>
    <row r="76" spans="1:23" ht="24" customHeight="1">
      <c r="A76" s="60" t="s">
        <v>73</v>
      </c>
      <c r="B76" s="61" t="s">
        <v>392</v>
      </c>
      <c r="C76" s="62">
        <f t="shared" si="2"/>
        <v>450000</v>
      </c>
      <c r="D76" s="62">
        <v>0</v>
      </c>
      <c r="E76" s="62">
        <v>0</v>
      </c>
      <c r="F76" s="62">
        <v>0</v>
      </c>
      <c r="G76" s="62">
        <v>0</v>
      </c>
      <c r="H76" s="62">
        <v>350000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100000</v>
      </c>
    </row>
    <row r="77" spans="1:23" ht="24" customHeight="1">
      <c r="A77" s="60" t="s">
        <v>74</v>
      </c>
      <c r="B77" s="61" t="s">
        <v>393</v>
      </c>
      <c r="C77" s="62">
        <f t="shared" si="2"/>
        <v>700000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450</v>
      </c>
      <c r="M77" s="62">
        <v>600000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100000</v>
      </c>
    </row>
    <row r="78" spans="1:23" ht="24" customHeight="1">
      <c r="A78" s="60" t="s">
        <v>75</v>
      </c>
      <c r="B78" s="61" t="s">
        <v>601</v>
      </c>
      <c r="C78" s="62">
        <f t="shared" si="2"/>
        <v>450000</v>
      </c>
      <c r="D78" s="62">
        <v>0</v>
      </c>
      <c r="E78" s="62">
        <v>0</v>
      </c>
      <c r="F78" s="62">
        <v>0</v>
      </c>
      <c r="G78" s="62">
        <v>0</v>
      </c>
      <c r="H78" s="62">
        <v>350000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100000</v>
      </c>
    </row>
    <row r="79" spans="1:23" ht="24" customHeight="1">
      <c r="A79" s="60" t="s">
        <v>76</v>
      </c>
      <c r="B79" s="61" t="s">
        <v>394</v>
      </c>
      <c r="C79" s="62">
        <f t="shared" si="2"/>
        <v>1750000</v>
      </c>
      <c r="D79" s="62">
        <v>0</v>
      </c>
      <c r="E79" s="62">
        <v>0</v>
      </c>
      <c r="F79" s="62">
        <v>0</v>
      </c>
      <c r="G79" s="62">
        <v>0</v>
      </c>
      <c r="H79" s="62">
        <v>550000</v>
      </c>
      <c r="I79" s="62">
        <v>0</v>
      </c>
      <c r="J79" s="62">
        <v>0</v>
      </c>
      <c r="K79" s="62">
        <v>0</v>
      </c>
      <c r="L79" s="62">
        <v>700</v>
      </c>
      <c r="M79" s="62">
        <v>1100000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100000</v>
      </c>
    </row>
    <row r="80" spans="1:23" ht="24" customHeight="1">
      <c r="A80" s="60" t="s">
        <v>77</v>
      </c>
      <c r="B80" s="61" t="s">
        <v>395</v>
      </c>
      <c r="C80" s="62">
        <f t="shared" si="2"/>
        <v>900000</v>
      </c>
      <c r="D80" s="62">
        <v>0</v>
      </c>
      <c r="E80" s="62">
        <v>0</v>
      </c>
      <c r="F80" s="62">
        <v>0</v>
      </c>
      <c r="G80" s="62">
        <v>0</v>
      </c>
      <c r="H80" s="62">
        <v>250000</v>
      </c>
      <c r="I80" s="62">
        <v>0</v>
      </c>
      <c r="J80" s="62">
        <v>0</v>
      </c>
      <c r="K80" s="62">
        <v>0</v>
      </c>
      <c r="L80" s="62">
        <v>350</v>
      </c>
      <c r="M80" s="62">
        <v>600000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50000</v>
      </c>
    </row>
    <row r="81" spans="1:23" ht="24" customHeight="1">
      <c r="A81" s="60" t="s">
        <v>78</v>
      </c>
      <c r="B81" s="61" t="s">
        <v>396</v>
      </c>
      <c r="C81" s="62">
        <f t="shared" si="2"/>
        <v>400000</v>
      </c>
      <c r="D81" s="62">
        <v>0</v>
      </c>
      <c r="E81" s="62">
        <v>350000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50000</v>
      </c>
    </row>
    <row r="82" spans="1:23" ht="24" customHeight="1">
      <c r="A82" s="60" t="s">
        <v>79</v>
      </c>
      <c r="B82" s="61" t="s">
        <v>397</v>
      </c>
      <c r="C82" s="62">
        <f t="shared" si="2"/>
        <v>1724288</v>
      </c>
      <c r="D82" s="62">
        <v>0</v>
      </c>
      <c r="E82" s="62">
        <v>0</v>
      </c>
      <c r="F82" s="62">
        <v>0</v>
      </c>
      <c r="G82" s="62">
        <v>0</v>
      </c>
      <c r="H82" s="62">
        <v>218126</v>
      </c>
      <c r="I82" s="62">
        <v>0</v>
      </c>
      <c r="J82" s="62">
        <v>0</v>
      </c>
      <c r="K82" s="62">
        <v>0</v>
      </c>
      <c r="L82" s="62">
        <v>700</v>
      </c>
      <c r="M82" s="62">
        <v>1406162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100000</v>
      </c>
    </row>
    <row r="83" spans="1:23" ht="24" customHeight="1">
      <c r="A83" s="60" t="s">
        <v>80</v>
      </c>
      <c r="B83" s="61" t="s">
        <v>513</v>
      </c>
      <c r="C83" s="62">
        <f t="shared" si="2"/>
        <v>1400000</v>
      </c>
      <c r="D83" s="62">
        <v>0</v>
      </c>
      <c r="E83" s="62">
        <v>0</v>
      </c>
      <c r="F83" s="62">
        <v>0</v>
      </c>
      <c r="G83" s="62">
        <v>0</v>
      </c>
      <c r="H83" s="62">
        <v>400000</v>
      </c>
      <c r="I83" s="62">
        <v>0</v>
      </c>
      <c r="J83" s="62">
        <v>0</v>
      </c>
      <c r="K83" s="62">
        <v>0</v>
      </c>
      <c r="L83" s="62">
        <v>600</v>
      </c>
      <c r="M83" s="62">
        <v>900000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100000</v>
      </c>
    </row>
    <row r="84" spans="1:23" ht="24" customHeight="1">
      <c r="A84" s="60" t="s">
        <v>81</v>
      </c>
      <c r="B84" s="61" t="s">
        <v>556</v>
      </c>
      <c r="C84" s="62">
        <f t="shared" si="2"/>
        <v>1350000</v>
      </c>
      <c r="D84" s="62">
        <v>0</v>
      </c>
      <c r="E84" s="62">
        <v>800000</v>
      </c>
      <c r="F84" s="62">
        <v>0</v>
      </c>
      <c r="G84" s="62">
        <v>0</v>
      </c>
      <c r="H84" s="62">
        <v>450000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  <c r="U84" s="62">
        <v>0</v>
      </c>
      <c r="V84" s="62">
        <v>0</v>
      </c>
      <c r="W84" s="62">
        <v>100000</v>
      </c>
    </row>
    <row r="85" spans="1:23" ht="24" customHeight="1">
      <c r="A85" s="60" t="s">
        <v>82</v>
      </c>
      <c r="B85" s="61" t="s">
        <v>514</v>
      </c>
      <c r="C85" s="62">
        <f t="shared" si="2"/>
        <v>8603322</v>
      </c>
      <c r="D85" s="62">
        <v>0</v>
      </c>
      <c r="E85" s="62">
        <v>0</v>
      </c>
      <c r="F85" s="62">
        <v>0</v>
      </c>
      <c r="G85" s="62">
        <v>1823000</v>
      </c>
      <c r="H85" s="62">
        <v>1640000</v>
      </c>
      <c r="I85" s="62">
        <v>0</v>
      </c>
      <c r="J85" s="62">
        <v>0</v>
      </c>
      <c r="K85" s="62">
        <v>0</v>
      </c>
      <c r="L85" s="62">
        <v>2500</v>
      </c>
      <c r="M85" s="62">
        <v>5040322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100000</v>
      </c>
    </row>
    <row r="86" spans="1:23" ht="24" customHeight="1">
      <c r="A86" s="60" t="s">
        <v>83</v>
      </c>
      <c r="B86" s="61" t="s">
        <v>515</v>
      </c>
      <c r="C86" s="62">
        <f t="shared" si="2"/>
        <v>2662247</v>
      </c>
      <c r="D86" s="62">
        <v>0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1300</v>
      </c>
      <c r="M86" s="62">
        <v>2562247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100000</v>
      </c>
    </row>
    <row r="87" spans="1:23" ht="24" customHeight="1">
      <c r="A87" s="60" t="s">
        <v>84</v>
      </c>
      <c r="B87" s="61" t="s">
        <v>398</v>
      </c>
      <c r="C87" s="62">
        <f t="shared" si="2"/>
        <v>550000</v>
      </c>
      <c r="D87" s="62">
        <v>0</v>
      </c>
      <c r="E87" s="62">
        <v>0</v>
      </c>
      <c r="F87" s="62">
        <v>0</v>
      </c>
      <c r="G87" s="62">
        <v>0</v>
      </c>
      <c r="H87" s="62">
        <v>450000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100000</v>
      </c>
    </row>
    <row r="88" spans="1:23" ht="24" customHeight="1">
      <c r="A88" s="60" t="s">
        <v>85</v>
      </c>
      <c r="B88" s="61" t="s">
        <v>399</v>
      </c>
      <c r="C88" s="62">
        <f t="shared" si="2"/>
        <v>550000</v>
      </c>
      <c r="D88" s="62">
        <v>0</v>
      </c>
      <c r="E88" s="62">
        <v>0</v>
      </c>
      <c r="F88" s="62">
        <v>0</v>
      </c>
      <c r="G88" s="62">
        <v>0</v>
      </c>
      <c r="H88" s="62">
        <v>450000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100000</v>
      </c>
    </row>
    <row r="89" spans="1:23" ht="24" customHeight="1">
      <c r="A89" s="60" t="s">
        <v>86</v>
      </c>
      <c r="B89" s="61" t="s">
        <v>400</v>
      </c>
      <c r="C89" s="62">
        <f t="shared" si="2"/>
        <v>400000</v>
      </c>
      <c r="D89" s="62">
        <v>0</v>
      </c>
      <c r="E89" s="62">
        <v>0</v>
      </c>
      <c r="F89" s="62">
        <v>0</v>
      </c>
      <c r="G89" s="62">
        <v>0</v>
      </c>
      <c r="H89" s="62">
        <v>100000</v>
      </c>
      <c r="I89" s="62">
        <v>0</v>
      </c>
      <c r="J89" s="62">
        <v>0</v>
      </c>
      <c r="K89" s="62">
        <v>0</v>
      </c>
      <c r="L89" s="62">
        <v>150</v>
      </c>
      <c r="M89" s="62">
        <v>200000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100000</v>
      </c>
    </row>
    <row r="90" spans="1:23" ht="24" customHeight="1">
      <c r="A90" s="60" t="s">
        <v>87</v>
      </c>
      <c r="B90" s="61" t="s">
        <v>401</v>
      </c>
      <c r="C90" s="62">
        <f t="shared" si="2"/>
        <v>500000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250</v>
      </c>
      <c r="M90" s="62">
        <v>400000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  <c r="U90" s="62">
        <v>0</v>
      </c>
      <c r="V90" s="62">
        <v>0</v>
      </c>
      <c r="W90" s="62">
        <v>100000</v>
      </c>
    </row>
    <row r="91" spans="1:23" ht="24" customHeight="1">
      <c r="A91" s="60" t="s">
        <v>88</v>
      </c>
      <c r="B91" s="61" t="s">
        <v>402</v>
      </c>
      <c r="C91" s="62">
        <f aca="true" t="shared" si="3" ref="C91:C126">D91+E91+F91+G91+H91+I91+K91+M91+O91+Q91+R91+T91+U91+V91+W91</f>
        <v>1155600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4238</v>
      </c>
      <c r="M91" s="62">
        <v>1055600</v>
      </c>
      <c r="N91" s="62">
        <v>0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  <c r="U91" s="62">
        <v>0</v>
      </c>
      <c r="V91" s="62">
        <v>0</v>
      </c>
      <c r="W91" s="62">
        <v>100000</v>
      </c>
    </row>
    <row r="92" spans="1:23" ht="24" customHeight="1">
      <c r="A92" s="60" t="s">
        <v>89</v>
      </c>
      <c r="B92" s="61" t="s">
        <v>559</v>
      </c>
      <c r="C92" s="62">
        <f t="shared" si="3"/>
        <v>600000</v>
      </c>
      <c r="D92" s="62">
        <v>0</v>
      </c>
      <c r="E92" s="62">
        <v>0</v>
      </c>
      <c r="F92" s="62">
        <v>0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500</v>
      </c>
      <c r="Q92" s="62">
        <f>P92*1000</f>
        <v>500000</v>
      </c>
      <c r="R92" s="62">
        <v>0</v>
      </c>
      <c r="S92" s="62">
        <v>0</v>
      </c>
      <c r="T92" s="62">
        <v>0</v>
      </c>
      <c r="U92" s="62">
        <v>0</v>
      </c>
      <c r="V92" s="62">
        <v>0</v>
      </c>
      <c r="W92" s="62">
        <v>100000</v>
      </c>
    </row>
    <row r="93" spans="1:23" ht="24" customHeight="1">
      <c r="A93" s="60" t="s">
        <v>90</v>
      </c>
      <c r="B93" s="61" t="s">
        <v>572</v>
      </c>
      <c r="C93" s="62">
        <f t="shared" si="3"/>
        <v>1000000</v>
      </c>
      <c r="D93" s="62">
        <v>0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250</v>
      </c>
      <c r="M93" s="62">
        <v>500000</v>
      </c>
      <c r="N93" s="62">
        <v>0</v>
      </c>
      <c r="O93" s="62">
        <v>0</v>
      </c>
      <c r="P93" s="62">
        <v>400</v>
      </c>
      <c r="Q93" s="62">
        <f>P93*1000</f>
        <v>400000</v>
      </c>
      <c r="R93" s="62">
        <v>0</v>
      </c>
      <c r="S93" s="62">
        <v>0</v>
      </c>
      <c r="T93" s="62">
        <v>0</v>
      </c>
      <c r="U93" s="62">
        <v>0</v>
      </c>
      <c r="V93" s="62">
        <v>0</v>
      </c>
      <c r="W93" s="62">
        <v>100000</v>
      </c>
    </row>
    <row r="94" spans="1:23" ht="24" customHeight="1">
      <c r="A94" s="60" t="s">
        <v>91</v>
      </c>
      <c r="B94" s="61" t="s">
        <v>573</v>
      </c>
      <c r="C94" s="62">
        <f t="shared" si="3"/>
        <v>500000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200</v>
      </c>
      <c r="M94" s="62">
        <v>400000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  <c r="U94" s="62">
        <v>0</v>
      </c>
      <c r="V94" s="62">
        <v>0</v>
      </c>
      <c r="W94" s="62">
        <v>100000</v>
      </c>
    </row>
    <row r="95" spans="1:23" ht="24" customHeight="1">
      <c r="A95" s="60" t="s">
        <v>92</v>
      </c>
      <c r="B95" s="61" t="s">
        <v>574</v>
      </c>
      <c r="C95" s="62">
        <f t="shared" si="3"/>
        <v>1005000</v>
      </c>
      <c r="D95" s="62">
        <v>0</v>
      </c>
      <c r="E95" s="62">
        <v>0</v>
      </c>
      <c r="F95" s="62">
        <v>0</v>
      </c>
      <c r="G95" s="62">
        <v>0</v>
      </c>
      <c r="H95" s="62">
        <v>0</v>
      </c>
      <c r="I95" s="62">
        <v>0</v>
      </c>
      <c r="J95" s="62">
        <v>0</v>
      </c>
      <c r="K95" s="62">
        <v>0</v>
      </c>
      <c r="L95" s="62">
        <v>300</v>
      </c>
      <c r="M95" s="62">
        <f>L95*1850</f>
        <v>555000</v>
      </c>
      <c r="N95" s="62">
        <v>0</v>
      </c>
      <c r="O95" s="62">
        <v>0</v>
      </c>
      <c r="P95" s="62">
        <v>400</v>
      </c>
      <c r="Q95" s="62">
        <f>P95*1000</f>
        <v>400000</v>
      </c>
      <c r="R95" s="62">
        <v>0</v>
      </c>
      <c r="S95" s="62">
        <v>0</v>
      </c>
      <c r="T95" s="62">
        <v>0</v>
      </c>
      <c r="U95" s="62">
        <v>0</v>
      </c>
      <c r="V95" s="62">
        <v>0</v>
      </c>
      <c r="W95" s="62">
        <v>50000</v>
      </c>
    </row>
    <row r="96" spans="1:23" ht="24" customHeight="1">
      <c r="A96" s="60" t="s">
        <v>93</v>
      </c>
      <c r="B96" s="61" t="s">
        <v>575</v>
      </c>
      <c r="C96" s="62">
        <f t="shared" si="3"/>
        <v>1005000</v>
      </c>
      <c r="D96" s="62">
        <v>0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300</v>
      </c>
      <c r="M96" s="62">
        <f>L96*1850</f>
        <v>555000</v>
      </c>
      <c r="N96" s="62">
        <v>0</v>
      </c>
      <c r="O96" s="62">
        <v>0</v>
      </c>
      <c r="P96" s="62">
        <v>400</v>
      </c>
      <c r="Q96" s="62">
        <f>P96*1000</f>
        <v>400000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50000</v>
      </c>
    </row>
    <row r="97" spans="1:23" ht="24" customHeight="1">
      <c r="A97" s="60" t="s">
        <v>94</v>
      </c>
      <c r="B97" s="61" t="s">
        <v>576</v>
      </c>
      <c r="C97" s="62">
        <f t="shared" si="3"/>
        <v>1000000</v>
      </c>
      <c r="D97" s="62">
        <v>0</v>
      </c>
      <c r="E97" s="62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250</v>
      </c>
      <c r="M97" s="62">
        <v>500000</v>
      </c>
      <c r="N97" s="62">
        <v>0</v>
      </c>
      <c r="O97" s="62">
        <v>0</v>
      </c>
      <c r="P97" s="62">
        <v>400</v>
      </c>
      <c r="Q97" s="62">
        <f>P97*1000</f>
        <v>400000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100000</v>
      </c>
    </row>
    <row r="98" spans="1:23" ht="24" customHeight="1">
      <c r="A98" s="60" t="s">
        <v>95</v>
      </c>
      <c r="B98" s="61" t="s">
        <v>403</v>
      </c>
      <c r="C98" s="62">
        <f t="shared" si="3"/>
        <v>500000</v>
      </c>
      <c r="D98" s="62">
        <v>0</v>
      </c>
      <c r="E98" s="62">
        <v>0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250</v>
      </c>
      <c r="M98" s="62">
        <v>400000</v>
      </c>
      <c r="N98" s="62">
        <v>0</v>
      </c>
      <c r="O98" s="62">
        <v>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62">
        <v>0</v>
      </c>
      <c r="W98" s="62">
        <v>100000</v>
      </c>
    </row>
    <row r="99" spans="1:23" ht="24" customHeight="1">
      <c r="A99" s="60" t="s">
        <v>96</v>
      </c>
      <c r="B99" s="61" t="s">
        <v>404</v>
      </c>
      <c r="C99" s="62">
        <f t="shared" si="3"/>
        <v>500000</v>
      </c>
      <c r="D99" s="62">
        <v>0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250</v>
      </c>
      <c r="M99" s="62">
        <v>400000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100000</v>
      </c>
    </row>
    <row r="100" spans="1:23" ht="24" customHeight="1">
      <c r="A100" s="60" t="s">
        <v>97</v>
      </c>
      <c r="B100" s="61" t="s">
        <v>405</v>
      </c>
      <c r="C100" s="62">
        <f t="shared" si="3"/>
        <v>900000</v>
      </c>
      <c r="D100" s="62">
        <v>0</v>
      </c>
      <c r="E100" s="62">
        <v>0</v>
      </c>
      <c r="F100" s="62">
        <v>0</v>
      </c>
      <c r="G100" s="62">
        <v>450000</v>
      </c>
      <c r="H100" s="62">
        <v>450000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>
        <v>0</v>
      </c>
      <c r="R100" s="62">
        <v>0</v>
      </c>
      <c r="S100" s="62">
        <v>0</v>
      </c>
      <c r="T100" s="62">
        <v>0</v>
      </c>
      <c r="U100" s="62">
        <v>0</v>
      </c>
      <c r="V100" s="62">
        <v>0</v>
      </c>
      <c r="W100" s="62">
        <v>0</v>
      </c>
    </row>
    <row r="101" spans="1:23" ht="24" customHeight="1">
      <c r="A101" s="60" t="s">
        <v>98</v>
      </c>
      <c r="B101" s="61" t="s">
        <v>406</v>
      </c>
      <c r="C101" s="62">
        <f t="shared" si="3"/>
        <v>300000</v>
      </c>
      <c r="D101" s="62">
        <v>0</v>
      </c>
      <c r="E101" s="62">
        <v>200000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100000</v>
      </c>
    </row>
    <row r="102" spans="1:23" ht="24" customHeight="1">
      <c r="A102" s="60" t="s">
        <v>109</v>
      </c>
      <c r="B102" s="61" t="s">
        <v>407</v>
      </c>
      <c r="C102" s="62">
        <f t="shared" si="3"/>
        <v>750000</v>
      </c>
      <c r="D102" s="62">
        <v>0</v>
      </c>
      <c r="E102" s="62">
        <v>0</v>
      </c>
      <c r="F102" s="62">
        <v>0</v>
      </c>
      <c r="G102" s="62">
        <v>0</v>
      </c>
      <c r="H102" s="62">
        <v>200000</v>
      </c>
      <c r="I102" s="62">
        <v>0</v>
      </c>
      <c r="J102" s="62">
        <v>0</v>
      </c>
      <c r="K102" s="62">
        <v>0</v>
      </c>
      <c r="L102" s="62">
        <v>258</v>
      </c>
      <c r="M102" s="62">
        <v>450000</v>
      </c>
      <c r="N102" s="62">
        <v>0</v>
      </c>
      <c r="O102" s="62">
        <v>0</v>
      </c>
      <c r="P102" s="62">
        <v>0</v>
      </c>
      <c r="Q102" s="62">
        <v>0</v>
      </c>
      <c r="R102" s="62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100000</v>
      </c>
    </row>
    <row r="103" spans="1:23" ht="24" customHeight="1">
      <c r="A103" s="60" t="s">
        <v>110</v>
      </c>
      <c r="B103" s="61" t="s">
        <v>408</v>
      </c>
      <c r="C103" s="62">
        <f t="shared" si="3"/>
        <v>3650000</v>
      </c>
      <c r="D103" s="62">
        <v>0</v>
      </c>
      <c r="E103" s="62">
        <v>0</v>
      </c>
      <c r="F103" s="62">
        <v>0</v>
      </c>
      <c r="G103" s="62">
        <v>1150000</v>
      </c>
      <c r="H103" s="62">
        <v>1200000</v>
      </c>
      <c r="I103" s="62">
        <v>0</v>
      </c>
      <c r="J103" s="62">
        <v>0</v>
      </c>
      <c r="K103" s="62">
        <v>0</v>
      </c>
      <c r="L103" s="62">
        <v>650</v>
      </c>
      <c r="M103" s="62">
        <v>1200000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100000</v>
      </c>
    </row>
    <row r="104" spans="1:23" ht="24" customHeight="1">
      <c r="A104" s="60" t="s">
        <v>111</v>
      </c>
      <c r="B104" s="61" t="s">
        <v>409</v>
      </c>
      <c r="C104" s="62">
        <f t="shared" si="3"/>
        <v>3650000</v>
      </c>
      <c r="D104" s="62">
        <v>0</v>
      </c>
      <c r="E104" s="62">
        <v>0</v>
      </c>
      <c r="F104" s="62">
        <v>0</v>
      </c>
      <c r="G104" s="62">
        <v>1300000</v>
      </c>
      <c r="H104" s="62">
        <v>1050000</v>
      </c>
      <c r="I104" s="62">
        <v>0</v>
      </c>
      <c r="J104" s="62">
        <v>0</v>
      </c>
      <c r="K104" s="62">
        <v>0</v>
      </c>
      <c r="L104" s="62">
        <v>650</v>
      </c>
      <c r="M104" s="62">
        <v>1200000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100000</v>
      </c>
    </row>
    <row r="105" spans="1:23" ht="24" customHeight="1">
      <c r="A105" s="60" t="s">
        <v>112</v>
      </c>
      <c r="B105" s="61" t="s">
        <v>410</v>
      </c>
      <c r="C105" s="62">
        <f t="shared" si="3"/>
        <v>450000</v>
      </c>
      <c r="D105" s="62">
        <v>0</v>
      </c>
      <c r="E105" s="62">
        <v>0</v>
      </c>
      <c r="F105" s="62">
        <v>0</v>
      </c>
      <c r="G105" s="62">
        <v>0</v>
      </c>
      <c r="H105" s="62">
        <v>350000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2">
        <v>0</v>
      </c>
      <c r="O105" s="62">
        <v>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100000</v>
      </c>
    </row>
    <row r="106" spans="1:23" ht="24" customHeight="1">
      <c r="A106" s="60" t="s">
        <v>113</v>
      </c>
      <c r="B106" s="61" t="s">
        <v>411</v>
      </c>
      <c r="C106" s="62">
        <f t="shared" si="3"/>
        <v>700000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350</v>
      </c>
      <c r="M106" s="62">
        <v>600000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2">
        <v>0</v>
      </c>
      <c r="T106" s="62">
        <v>0</v>
      </c>
      <c r="U106" s="62">
        <v>0</v>
      </c>
      <c r="V106" s="62">
        <v>0</v>
      </c>
      <c r="W106" s="62">
        <v>100000</v>
      </c>
    </row>
    <row r="107" spans="1:23" ht="24" customHeight="1">
      <c r="A107" s="60" t="s">
        <v>114</v>
      </c>
      <c r="B107" s="61" t="s">
        <v>413</v>
      </c>
      <c r="C107" s="62">
        <f t="shared" si="3"/>
        <v>300000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150</v>
      </c>
      <c r="M107" s="62">
        <v>250000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50000</v>
      </c>
    </row>
    <row r="108" spans="1:23" ht="24" customHeight="1">
      <c r="A108" s="60" t="s">
        <v>115</v>
      </c>
      <c r="B108" s="61" t="s">
        <v>414</v>
      </c>
      <c r="C108" s="62">
        <f t="shared" si="3"/>
        <v>2320500</v>
      </c>
      <c r="D108" s="62">
        <v>0</v>
      </c>
      <c r="E108" s="62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1785</v>
      </c>
      <c r="M108" s="62">
        <v>2320500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</row>
    <row r="109" spans="1:23" ht="24" customHeight="1">
      <c r="A109" s="60" t="s">
        <v>116</v>
      </c>
      <c r="B109" s="61" t="s">
        <v>415</v>
      </c>
      <c r="C109" s="62">
        <f t="shared" si="3"/>
        <v>4300000</v>
      </c>
      <c r="D109" s="62">
        <v>0</v>
      </c>
      <c r="E109" s="62">
        <v>0</v>
      </c>
      <c r="F109" s="62">
        <v>0</v>
      </c>
      <c r="G109" s="62">
        <v>1150000</v>
      </c>
      <c r="H109" s="62">
        <v>1250000</v>
      </c>
      <c r="I109" s="62">
        <v>0</v>
      </c>
      <c r="J109" s="62">
        <v>0</v>
      </c>
      <c r="K109" s="62">
        <v>0</v>
      </c>
      <c r="L109" s="62">
        <v>1100</v>
      </c>
      <c r="M109" s="62">
        <v>1800000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2">
        <v>0</v>
      </c>
      <c r="T109" s="62">
        <v>0</v>
      </c>
      <c r="U109" s="62">
        <v>0</v>
      </c>
      <c r="V109" s="62">
        <v>0</v>
      </c>
      <c r="W109" s="62">
        <v>100000</v>
      </c>
    </row>
    <row r="110" spans="1:23" ht="24" customHeight="1">
      <c r="A110" s="60" t="s">
        <v>117</v>
      </c>
      <c r="B110" s="61" t="s">
        <v>580</v>
      </c>
      <c r="C110" s="62">
        <f t="shared" si="3"/>
        <v>800000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800000</v>
      </c>
    </row>
    <row r="111" spans="1:23" ht="24" customHeight="1">
      <c r="A111" s="60" t="s">
        <v>118</v>
      </c>
      <c r="B111" s="61" t="s">
        <v>581</v>
      </c>
      <c r="C111" s="62">
        <f t="shared" si="3"/>
        <v>50000</v>
      </c>
      <c r="D111" s="62">
        <v>0</v>
      </c>
      <c r="E111" s="62">
        <v>0</v>
      </c>
      <c r="F111" s="62">
        <v>0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  <c r="Q111" s="62">
        <v>0</v>
      </c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50000</v>
      </c>
    </row>
    <row r="112" spans="1:23" ht="24" customHeight="1">
      <c r="A112" s="60" t="s">
        <v>119</v>
      </c>
      <c r="B112" s="61" t="s">
        <v>416</v>
      </c>
      <c r="C112" s="62">
        <f t="shared" si="3"/>
        <v>624640</v>
      </c>
      <c r="D112" s="62">
        <v>0</v>
      </c>
      <c r="E112" s="62">
        <v>0</v>
      </c>
      <c r="F112" s="62">
        <v>0</v>
      </c>
      <c r="G112" s="62">
        <v>0</v>
      </c>
      <c r="H112" s="62">
        <v>174640</v>
      </c>
      <c r="I112" s="62">
        <v>0</v>
      </c>
      <c r="J112" s="62">
        <v>0</v>
      </c>
      <c r="K112" s="62">
        <v>0</v>
      </c>
      <c r="L112" s="62">
        <v>200</v>
      </c>
      <c r="M112" s="62">
        <v>350000</v>
      </c>
      <c r="N112" s="62">
        <v>0</v>
      </c>
      <c r="O112" s="62">
        <v>0</v>
      </c>
      <c r="P112" s="62">
        <v>0</v>
      </c>
      <c r="Q112" s="62">
        <v>0</v>
      </c>
      <c r="R112" s="62">
        <v>0</v>
      </c>
      <c r="S112" s="62">
        <v>0</v>
      </c>
      <c r="T112" s="62">
        <v>0</v>
      </c>
      <c r="U112" s="62">
        <v>0</v>
      </c>
      <c r="V112" s="62">
        <v>0</v>
      </c>
      <c r="W112" s="62">
        <v>100000</v>
      </c>
    </row>
    <row r="113" spans="1:23" ht="24" customHeight="1">
      <c r="A113" s="60" t="s">
        <v>120</v>
      </c>
      <c r="B113" s="61" t="s">
        <v>417</v>
      </c>
      <c r="C113" s="62">
        <f t="shared" si="3"/>
        <v>450000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200</v>
      </c>
      <c r="M113" s="62">
        <v>350000</v>
      </c>
      <c r="N113" s="62">
        <v>0</v>
      </c>
      <c r="O113" s="62">
        <v>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100000</v>
      </c>
    </row>
    <row r="114" spans="1:23" ht="24" customHeight="1">
      <c r="A114" s="60" t="s">
        <v>121</v>
      </c>
      <c r="B114" s="61" t="s">
        <v>418</v>
      </c>
      <c r="C114" s="62">
        <f t="shared" si="3"/>
        <v>350000</v>
      </c>
      <c r="D114" s="62">
        <v>0</v>
      </c>
      <c r="E114" s="62">
        <v>0</v>
      </c>
      <c r="F114" s="62">
        <v>0</v>
      </c>
      <c r="G114" s="62">
        <v>350000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</row>
    <row r="115" spans="1:23" ht="24" customHeight="1">
      <c r="A115" s="60" t="s">
        <v>122</v>
      </c>
      <c r="B115" s="61" t="s">
        <v>419</v>
      </c>
      <c r="C115" s="62">
        <f t="shared" si="3"/>
        <v>350000</v>
      </c>
      <c r="D115" s="62">
        <v>0</v>
      </c>
      <c r="E115" s="62">
        <v>0</v>
      </c>
      <c r="F115" s="62">
        <v>0</v>
      </c>
      <c r="G115" s="62">
        <v>350000</v>
      </c>
      <c r="H115" s="62">
        <v>0</v>
      </c>
      <c r="I115" s="62">
        <v>0</v>
      </c>
      <c r="J115" s="62">
        <v>0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62">
        <v>0</v>
      </c>
      <c r="V115" s="62">
        <v>0</v>
      </c>
      <c r="W115" s="62">
        <v>0</v>
      </c>
    </row>
    <row r="116" spans="1:23" ht="24" customHeight="1">
      <c r="A116" s="60" t="s">
        <v>123</v>
      </c>
      <c r="B116" s="61" t="s">
        <v>420</v>
      </c>
      <c r="C116" s="62">
        <f t="shared" si="3"/>
        <v>1553360</v>
      </c>
      <c r="D116" s="62">
        <v>0</v>
      </c>
      <c r="E116" s="62">
        <v>0</v>
      </c>
      <c r="F116" s="62">
        <v>0</v>
      </c>
      <c r="G116" s="62">
        <v>0</v>
      </c>
      <c r="H116" s="62">
        <v>121360</v>
      </c>
      <c r="I116" s="62">
        <v>0</v>
      </c>
      <c r="J116" s="62">
        <v>0</v>
      </c>
      <c r="K116" s="62">
        <v>0</v>
      </c>
      <c r="L116" s="62">
        <v>720</v>
      </c>
      <c r="M116" s="62">
        <v>1332000</v>
      </c>
      <c r="N116" s="62">
        <v>0</v>
      </c>
      <c r="O116" s="62">
        <v>0</v>
      </c>
      <c r="P116" s="62">
        <v>0</v>
      </c>
      <c r="Q116" s="62">
        <v>0</v>
      </c>
      <c r="R116" s="62">
        <v>0</v>
      </c>
      <c r="S116" s="62">
        <v>0</v>
      </c>
      <c r="T116" s="62">
        <v>0</v>
      </c>
      <c r="U116" s="62">
        <v>0</v>
      </c>
      <c r="V116" s="62">
        <v>0</v>
      </c>
      <c r="W116" s="62">
        <v>100000</v>
      </c>
    </row>
    <row r="117" spans="1:23" ht="24" customHeight="1">
      <c r="A117" s="60" t="s">
        <v>124</v>
      </c>
      <c r="B117" s="61" t="s">
        <v>430</v>
      </c>
      <c r="C117" s="62">
        <f t="shared" si="3"/>
        <v>503200</v>
      </c>
      <c r="D117" s="62">
        <v>0</v>
      </c>
      <c r="E117" s="62">
        <v>0</v>
      </c>
      <c r="F117" s="62">
        <v>0</v>
      </c>
      <c r="G117" s="62">
        <v>0</v>
      </c>
      <c r="H117" s="62">
        <v>403200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  <c r="U117" s="62">
        <v>0</v>
      </c>
      <c r="V117" s="62">
        <v>0</v>
      </c>
      <c r="W117" s="62">
        <v>100000</v>
      </c>
    </row>
    <row r="118" spans="1:23" ht="24" customHeight="1">
      <c r="A118" s="60" t="s">
        <v>125</v>
      </c>
      <c r="B118" s="61" t="s">
        <v>431</v>
      </c>
      <c r="C118" s="62">
        <f t="shared" si="3"/>
        <v>1420000</v>
      </c>
      <c r="D118" s="62">
        <v>0</v>
      </c>
      <c r="E118" s="62">
        <v>0</v>
      </c>
      <c r="F118" s="62">
        <v>0</v>
      </c>
      <c r="G118" s="62">
        <v>420000</v>
      </c>
      <c r="H118" s="62">
        <v>300000</v>
      </c>
      <c r="I118" s="62">
        <v>0</v>
      </c>
      <c r="J118" s="62">
        <v>0</v>
      </c>
      <c r="K118" s="62">
        <v>0</v>
      </c>
      <c r="L118" s="62">
        <v>350</v>
      </c>
      <c r="M118" s="62">
        <v>600000</v>
      </c>
      <c r="N118" s="62">
        <v>0</v>
      </c>
      <c r="O118" s="62"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0</v>
      </c>
      <c r="W118" s="62">
        <v>100000</v>
      </c>
    </row>
    <row r="119" spans="1:23" ht="24" customHeight="1">
      <c r="A119" s="60" t="s">
        <v>126</v>
      </c>
      <c r="B119" s="61" t="s">
        <v>432</v>
      </c>
      <c r="C119" s="62">
        <f t="shared" si="3"/>
        <v>1084200</v>
      </c>
      <c r="D119" s="62">
        <v>0</v>
      </c>
      <c r="E119" s="62">
        <v>0</v>
      </c>
      <c r="F119" s="62">
        <v>0</v>
      </c>
      <c r="G119" s="62">
        <v>0</v>
      </c>
      <c r="H119" s="62">
        <v>0</v>
      </c>
      <c r="I119" s="62">
        <v>0</v>
      </c>
      <c r="J119" s="62">
        <v>0</v>
      </c>
      <c r="K119" s="62">
        <v>0</v>
      </c>
      <c r="L119" s="62">
        <v>450</v>
      </c>
      <c r="M119" s="62">
        <v>984200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100000</v>
      </c>
    </row>
    <row r="120" spans="1:23" ht="24" customHeight="1">
      <c r="A120" s="60" t="s">
        <v>127</v>
      </c>
      <c r="B120" s="61" t="s">
        <v>433</v>
      </c>
      <c r="C120" s="62">
        <f t="shared" si="3"/>
        <v>3030000</v>
      </c>
      <c r="D120" s="62">
        <v>0</v>
      </c>
      <c r="E120" s="62">
        <v>0</v>
      </c>
      <c r="F120" s="62">
        <v>0</v>
      </c>
      <c r="G120" s="62">
        <v>730000</v>
      </c>
      <c r="H120" s="62">
        <v>500000</v>
      </c>
      <c r="I120" s="62">
        <v>0</v>
      </c>
      <c r="J120" s="62">
        <v>0</v>
      </c>
      <c r="K120" s="62">
        <v>0</v>
      </c>
      <c r="L120" s="62">
        <v>950</v>
      </c>
      <c r="M120" s="62">
        <v>1700000</v>
      </c>
      <c r="N120" s="62">
        <v>0</v>
      </c>
      <c r="O120" s="62">
        <v>0</v>
      </c>
      <c r="P120" s="62">
        <v>0</v>
      </c>
      <c r="Q120" s="62">
        <v>0</v>
      </c>
      <c r="R120" s="62">
        <v>0</v>
      </c>
      <c r="S120" s="62">
        <v>0</v>
      </c>
      <c r="T120" s="62">
        <v>0</v>
      </c>
      <c r="U120" s="62">
        <v>0</v>
      </c>
      <c r="V120" s="62">
        <v>0</v>
      </c>
      <c r="W120" s="62">
        <v>100000</v>
      </c>
    </row>
    <row r="121" spans="1:23" ht="24" customHeight="1">
      <c r="A121" s="60" t="s">
        <v>128</v>
      </c>
      <c r="B121" s="61" t="s">
        <v>434</v>
      </c>
      <c r="C121" s="62">
        <f t="shared" si="3"/>
        <v>800000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62">
        <v>450</v>
      </c>
      <c r="M121" s="62">
        <v>700000</v>
      </c>
      <c r="N121" s="62">
        <v>0</v>
      </c>
      <c r="O121" s="62">
        <v>0</v>
      </c>
      <c r="P121" s="62">
        <v>0</v>
      </c>
      <c r="Q121" s="62">
        <v>0</v>
      </c>
      <c r="R121" s="62">
        <v>0</v>
      </c>
      <c r="S121" s="62">
        <v>0</v>
      </c>
      <c r="T121" s="62">
        <v>0</v>
      </c>
      <c r="U121" s="62">
        <v>0</v>
      </c>
      <c r="V121" s="62">
        <v>0</v>
      </c>
      <c r="W121" s="62">
        <v>100000</v>
      </c>
    </row>
    <row r="122" spans="1:23" ht="24" customHeight="1">
      <c r="A122" s="60" t="s">
        <v>129</v>
      </c>
      <c r="B122" s="61" t="s">
        <v>421</v>
      </c>
      <c r="C122" s="62">
        <f t="shared" si="3"/>
        <v>1532481</v>
      </c>
      <c r="D122" s="62">
        <v>0</v>
      </c>
      <c r="E122" s="62">
        <v>0</v>
      </c>
      <c r="F122" s="62">
        <v>0</v>
      </c>
      <c r="G122" s="62">
        <v>420000</v>
      </c>
      <c r="H122" s="62">
        <v>420000</v>
      </c>
      <c r="I122" s="62">
        <v>0</v>
      </c>
      <c r="J122" s="62">
        <v>0</v>
      </c>
      <c r="K122" s="62">
        <v>0</v>
      </c>
      <c r="L122" s="62">
        <v>922</v>
      </c>
      <c r="M122" s="62">
        <v>592481</v>
      </c>
      <c r="N122" s="62"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100000</v>
      </c>
    </row>
    <row r="123" spans="1:23" ht="24" customHeight="1">
      <c r="A123" s="60" t="s">
        <v>130</v>
      </c>
      <c r="B123" s="61" t="s">
        <v>560</v>
      </c>
      <c r="C123" s="62">
        <f t="shared" si="3"/>
        <v>2478621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62">
        <v>0</v>
      </c>
      <c r="S123" s="62">
        <v>0</v>
      </c>
      <c r="T123" s="62">
        <v>0</v>
      </c>
      <c r="U123" s="62">
        <v>0</v>
      </c>
      <c r="V123" s="62">
        <v>0</v>
      </c>
      <c r="W123" s="62">
        <v>2478621</v>
      </c>
    </row>
    <row r="124" spans="1:23" ht="24" customHeight="1">
      <c r="A124" s="60" t="s">
        <v>131</v>
      </c>
      <c r="B124" s="61" t="s">
        <v>422</v>
      </c>
      <c r="C124" s="62">
        <f t="shared" si="3"/>
        <v>800000</v>
      </c>
      <c r="D124" s="62">
        <v>0</v>
      </c>
      <c r="E124" s="62">
        <v>0</v>
      </c>
      <c r="F124" s="62">
        <v>0</v>
      </c>
      <c r="G124" s="62">
        <v>350000</v>
      </c>
      <c r="H124" s="62">
        <v>350000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2">
        <v>0</v>
      </c>
      <c r="R124" s="62">
        <v>0</v>
      </c>
      <c r="S124" s="62">
        <v>0</v>
      </c>
      <c r="T124" s="62">
        <v>0</v>
      </c>
      <c r="U124" s="62">
        <v>0</v>
      </c>
      <c r="V124" s="62">
        <v>0</v>
      </c>
      <c r="W124" s="62">
        <v>100000</v>
      </c>
    </row>
    <row r="125" spans="1:23" ht="24" customHeight="1">
      <c r="A125" s="60" t="s">
        <v>132</v>
      </c>
      <c r="B125" s="66" t="s">
        <v>423</v>
      </c>
      <c r="C125" s="62">
        <f t="shared" si="3"/>
        <v>800000</v>
      </c>
      <c r="D125" s="62">
        <v>0</v>
      </c>
      <c r="E125" s="62">
        <v>0</v>
      </c>
      <c r="F125" s="62">
        <v>0</v>
      </c>
      <c r="G125" s="62">
        <v>350000</v>
      </c>
      <c r="H125" s="62">
        <v>350000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0</v>
      </c>
      <c r="Q125" s="62">
        <v>0</v>
      </c>
      <c r="R125" s="62">
        <v>0</v>
      </c>
      <c r="S125" s="62">
        <v>0</v>
      </c>
      <c r="T125" s="62">
        <v>0</v>
      </c>
      <c r="U125" s="62">
        <v>0</v>
      </c>
      <c r="V125" s="62">
        <v>0</v>
      </c>
      <c r="W125" s="62">
        <v>100000</v>
      </c>
    </row>
    <row r="126" spans="1:23" ht="24" customHeight="1">
      <c r="A126" s="60" t="s">
        <v>133</v>
      </c>
      <c r="B126" s="61" t="s">
        <v>424</v>
      </c>
      <c r="C126" s="62">
        <f t="shared" si="3"/>
        <v>800000</v>
      </c>
      <c r="D126" s="62">
        <v>0</v>
      </c>
      <c r="E126" s="62">
        <v>0</v>
      </c>
      <c r="F126" s="62">
        <v>0</v>
      </c>
      <c r="G126" s="62">
        <v>350000</v>
      </c>
      <c r="H126" s="62">
        <v>350000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  <c r="Q126" s="62">
        <v>0</v>
      </c>
      <c r="R126" s="62">
        <v>0</v>
      </c>
      <c r="S126" s="62">
        <v>0</v>
      </c>
      <c r="T126" s="62">
        <v>0</v>
      </c>
      <c r="U126" s="62">
        <v>0</v>
      </c>
      <c r="V126" s="62">
        <v>0</v>
      </c>
      <c r="W126" s="62">
        <v>100000</v>
      </c>
    </row>
    <row r="127" spans="1:23" ht="24" customHeight="1">
      <c r="A127" s="60" t="s">
        <v>134</v>
      </c>
      <c r="B127" s="61" t="s">
        <v>425</v>
      </c>
      <c r="C127" s="62">
        <f aca="true" t="shared" si="4" ref="C127:C147">D127+E127+F127+G127+H127+I127+K127+M127+O127+Q127+R127+T127+U127+V127+W127</f>
        <v>1050000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62">
        <v>350</v>
      </c>
      <c r="M127" s="62">
        <v>550000</v>
      </c>
      <c r="N127" s="62">
        <v>0</v>
      </c>
      <c r="O127" s="62">
        <v>0</v>
      </c>
      <c r="P127" s="62">
        <v>450</v>
      </c>
      <c r="Q127" s="62">
        <f>P127*1000</f>
        <v>450000</v>
      </c>
      <c r="R127" s="62">
        <v>0</v>
      </c>
      <c r="S127" s="62">
        <v>0</v>
      </c>
      <c r="T127" s="62">
        <v>0</v>
      </c>
      <c r="U127" s="62">
        <v>0</v>
      </c>
      <c r="V127" s="62">
        <v>0</v>
      </c>
      <c r="W127" s="62">
        <v>50000</v>
      </c>
    </row>
    <row r="128" spans="1:23" ht="24" customHeight="1">
      <c r="A128" s="60" t="s">
        <v>135</v>
      </c>
      <c r="B128" s="61" t="s">
        <v>412</v>
      </c>
      <c r="C128" s="62">
        <f t="shared" si="4"/>
        <v>3138054</v>
      </c>
      <c r="D128" s="62">
        <v>0</v>
      </c>
      <c r="E128" s="62">
        <v>0</v>
      </c>
      <c r="F128" s="62">
        <v>0</v>
      </c>
      <c r="G128" s="62">
        <v>942474</v>
      </c>
      <c r="H128" s="62">
        <v>554526</v>
      </c>
      <c r="I128" s="62">
        <v>0</v>
      </c>
      <c r="J128" s="62">
        <v>0</v>
      </c>
      <c r="K128" s="62">
        <v>0</v>
      </c>
      <c r="L128" s="62">
        <v>700</v>
      </c>
      <c r="M128" s="62">
        <v>1541054</v>
      </c>
      <c r="N128" s="62">
        <v>0</v>
      </c>
      <c r="O128" s="62">
        <v>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0</v>
      </c>
      <c r="W128" s="62">
        <v>100000</v>
      </c>
    </row>
    <row r="129" spans="1:23" ht="24" customHeight="1">
      <c r="A129" s="60" t="s">
        <v>136</v>
      </c>
      <c r="B129" s="61" t="s">
        <v>426</v>
      </c>
      <c r="C129" s="62">
        <f t="shared" si="4"/>
        <v>244000</v>
      </c>
      <c r="D129" s="62">
        <v>0</v>
      </c>
      <c r="E129" s="62">
        <v>144000</v>
      </c>
      <c r="F129" s="62">
        <v>0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0</v>
      </c>
      <c r="N129" s="62">
        <v>0</v>
      </c>
      <c r="O129" s="62">
        <v>0</v>
      </c>
      <c r="P129" s="62">
        <v>0</v>
      </c>
      <c r="Q129" s="62">
        <v>0</v>
      </c>
      <c r="R129" s="62">
        <v>0</v>
      </c>
      <c r="S129" s="62">
        <v>0</v>
      </c>
      <c r="T129" s="62">
        <v>0</v>
      </c>
      <c r="U129" s="62">
        <v>0</v>
      </c>
      <c r="V129" s="62">
        <v>0</v>
      </c>
      <c r="W129" s="62">
        <v>100000</v>
      </c>
    </row>
    <row r="130" spans="1:23" ht="24" customHeight="1">
      <c r="A130" s="60" t="s">
        <v>137</v>
      </c>
      <c r="B130" s="61" t="s">
        <v>427</v>
      </c>
      <c r="C130" s="62">
        <f t="shared" si="4"/>
        <v>349600</v>
      </c>
      <c r="D130" s="62">
        <v>0</v>
      </c>
      <c r="E130" s="62">
        <v>249600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2">
        <v>0</v>
      </c>
      <c r="O130" s="62">
        <v>0</v>
      </c>
      <c r="P130" s="62">
        <v>0</v>
      </c>
      <c r="Q130" s="62">
        <v>0</v>
      </c>
      <c r="R130" s="62">
        <v>0</v>
      </c>
      <c r="S130" s="62">
        <v>0</v>
      </c>
      <c r="T130" s="62">
        <v>0</v>
      </c>
      <c r="U130" s="62">
        <v>0</v>
      </c>
      <c r="V130" s="62">
        <v>0</v>
      </c>
      <c r="W130" s="62">
        <v>100000</v>
      </c>
    </row>
    <row r="131" spans="1:23" ht="24" customHeight="1">
      <c r="A131" s="60" t="s">
        <v>138</v>
      </c>
      <c r="B131" s="61" t="s">
        <v>456</v>
      </c>
      <c r="C131" s="62">
        <f t="shared" si="4"/>
        <v>400000</v>
      </c>
      <c r="D131" s="62">
        <v>0</v>
      </c>
      <c r="E131" s="62">
        <v>0</v>
      </c>
      <c r="F131" s="62">
        <v>0</v>
      </c>
      <c r="G131" s="62">
        <v>0</v>
      </c>
      <c r="H131" s="62">
        <v>350000</v>
      </c>
      <c r="I131" s="62">
        <v>0</v>
      </c>
      <c r="J131" s="62">
        <v>0</v>
      </c>
      <c r="K131" s="62">
        <v>0</v>
      </c>
      <c r="L131" s="62">
        <v>0</v>
      </c>
      <c r="M131" s="62">
        <v>0</v>
      </c>
      <c r="N131" s="62">
        <v>0</v>
      </c>
      <c r="O131" s="62">
        <v>0</v>
      </c>
      <c r="P131" s="62">
        <v>0</v>
      </c>
      <c r="Q131" s="62">
        <v>0</v>
      </c>
      <c r="R131" s="62">
        <v>0</v>
      </c>
      <c r="S131" s="62">
        <v>0</v>
      </c>
      <c r="T131" s="62">
        <v>0</v>
      </c>
      <c r="U131" s="62">
        <v>0</v>
      </c>
      <c r="V131" s="62">
        <v>0</v>
      </c>
      <c r="W131" s="62">
        <v>50000</v>
      </c>
    </row>
    <row r="132" spans="1:23" ht="24" customHeight="1">
      <c r="A132" s="60" t="s">
        <v>139</v>
      </c>
      <c r="B132" s="61" t="s">
        <v>457</v>
      </c>
      <c r="C132" s="62">
        <f t="shared" si="4"/>
        <v>300000</v>
      </c>
      <c r="D132" s="62">
        <v>0</v>
      </c>
      <c r="E132" s="62">
        <v>0</v>
      </c>
      <c r="F132" s="62">
        <v>0</v>
      </c>
      <c r="G132" s="62">
        <v>0</v>
      </c>
      <c r="H132" s="62">
        <v>250000</v>
      </c>
      <c r="I132" s="62">
        <v>0</v>
      </c>
      <c r="J132" s="62">
        <v>0</v>
      </c>
      <c r="K132" s="62">
        <v>0</v>
      </c>
      <c r="L132" s="62">
        <v>0</v>
      </c>
      <c r="M132" s="62">
        <v>0</v>
      </c>
      <c r="N132" s="62">
        <v>0</v>
      </c>
      <c r="O132" s="62">
        <v>0</v>
      </c>
      <c r="P132" s="62">
        <v>0</v>
      </c>
      <c r="Q132" s="62">
        <v>0</v>
      </c>
      <c r="R132" s="62">
        <v>0</v>
      </c>
      <c r="S132" s="62">
        <v>0</v>
      </c>
      <c r="T132" s="62">
        <v>0</v>
      </c>
      <c r="U132" s="62">
        <v>0</v>
      </c>
      <c r="V132" s="62">
        <v>0</v>
      </c>
      <c r="W132" s="62">
        <v>50000</v>
      </c>
    </row>
    <row r="133" spans="1:23" ht="24" customHeight="1">
      <c r="A133" s="60" t="s">
        <v>140</v>
      </c>
      <c r="B133" s="61" t="s">
        <v>428</v>
      </c>
      <c r="C133" s="62">
        <f t="shared" si="4"/>
        <v>1000000</v>
      </c>
      <c r="D133" s="62">
        <v>0</v>
      </c>
      <c r="E133" s="62">
        <v>0</v>
      </c>
      <c r="F133" s="62">
        <v>0</v>
      </c>
      <c r="G133" s="62">
        <v>450000</v>
      </c>
      <c r="H133" s="62">
        <v>450000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2">
        <v>0</v>
      </c>
      <c r="O133" s="62">
        <v>0</v>
      </c>
      <c r="P133" s="62">
        <v>0</v>
      </c>
      <c r="Q133" s="62">
        <v>0</v>
      </c>
      <c r="R133" s="62">
        <v>0</v>
      </c>
      <c r="S133" s="62">
        <v>0</v>
      </c>
      <c r="T133" s="62">
        <v>0</v>
      </c>
      <c r="U133" s="62">
        <v>0</v>
      </c>
      <c r="V133" s="62">
        <v>0</v>
      </c>
      <c r="W133" s="62">
        <v>100000</v>
      </c>
    </row>
    <row r="134" spans="1:23" ht="24" customHeight="1">
      <c r="A134" s="60" t="s">
        <v>141</v>
      </c>
      <c r="B134" s="61" t="s">
        <v>429</v>
      </c>
      <c r="C134" s="62">
        <f t="shared" si="4"/>
        <v>650000</v>
      </c>
      <c r="D134" s="62">
        <v>0</v>
      </c>
      <c r="E134" s="62">
        <v>0</v>
      </c>
      <c r="F134" s="62">
        <v>0</v>
      </c>
      <c r="G134" s="62">
        <v>0</v>
      </c>
      <c r="H134" s="62">
        <v>200000</v>
      </c>
      <c r="I134" s="62">
        <v>0</v>
      </c>
      <c r="J134" s="62">
        <v>0</v>
      </c>
      <c r="K134" s="62">
        <v>0</v>
      </c>
      <c r="L134" s="62">
        <v>250</v>
      </c>
      <c r="M134" s="62">
        <v>400000</v>
      </c>
      <c r="N134" s="62">
        <v>0</v>
      </c>
      <c r="O134" s="62">
        <v>0</v>
      </c>
      <c r="P134" s="62">
        <v>0</v>
      </c>
      <c r="Q134" s="62">
        <v>0</v>
      </c>
      <c r="R134" s="62">
        <v>0</v>
      </c>
      <c r="S134" s="62">
        <v>0</v>
      </c>
      <c r="T134" s="62">
        <v>0</v>
      </c>
      <c r="U134" s="62">
        <v>0</v>
      </c>
      <c r="V134" s="62">
        <v>0</v>
      </c>
      <c r="W134" s="62">
        <v>50000</v>
      </c>
    </row>
    <row r="135" spans="1:23" ht="24" customHeight="1">
      <c r="A135" s="60" t="s">
        <v>142</v>
      </c>
      <c r="B135" s="61" t="s">
        <v>435</v>
      </c>
      <c r="C135" s="62">
        <f t="shared" si="4"/>
        <v>1479844</v>
      </c>
      <c r="D135" s="62">
        <v>0</v>
      </c>
      <c r="E135" s="62">
        <v>0</v>
      </c>
      <c r="F135" s="62">
        <v>0</v>
      </c>
      <c r="G135" s="62">
        <v>0</v>
      </c>
      <c r="H135" s="62">
        <v>0</v>
      </c>
      <c r="I135" s="62">
        <v>0</v>
      </c>
      <c r="J135" s="62">
        <v>0</v>
      </c>
      <c r="K135" s="62">
        <v>0</v>
      </c>
      <c r="L135" s="62">
        <v>1055.7</v>
      </c>
      <c r="M135" s="62">
        <v>1379844</v>
      </c>
      <c r="N135" s="62">
        <v>0</v>
      </c>
      <c r="O135" s="62">
        <v>0</v>
      </c>
      <c r="P135" s="62">
        <v>0</v>
      </c>
      <c r="Q135" s="62">
        <v>0</v>
      </c>
      <c r="R135" s="62">
        <v>0</v>
      </c>
      <c r="S135" s="62">
        <v>0</v>
      </c>
      <c r="T135" s="62">
        <v>0</v>
      </c>
      <c r="U135" s="62">
        <v>0</v>
      </c>
      <c r="V135" s="62">
        <v>0</v>
      </c>
      <c r="W135" s="62">
        <v>100000</v>
      </c>
    </row>
    <row r="136" spans="1:23" ht="24" customHeight="1">
      <c r="A136" s="60" t="s">
        <v>143</v>
      </c>
      <c r="B136" s="61" t="s">
        <v>436</v>
      </c>
      <c r="C136" s="62">
        <f t="shared" si="4"/>
        <v>1200000</v>
      </c>
      <c r="D136" s="62">
        <v>0</v>
      </c>
      <c r="E136" s="62">
        <v>0</v>
      </c>
      <c r="F136" s="62">
        <v>0</v>
      </c>
      <c r="G136" s="62">
        <v>0</v>
      </c>
      <c r="H136" s="62">
        <v>0</v>
      </c>
      <c r="I136" s="62">
        <v>0</v>
      </c>
      <c r="J136" s="62">
        <v>0</v>
      </c>
      <c r="K136" s="62">
        <v>0</v>
      </c>
      <c r="L136" s="62">
        <v>700</v>
      </c>
      <c r="M136" s="62">
        <v>1200000</v>
      </c>
      <c r="N136" s="62">
        <v>0</v>
      </c>
      <c r="O136" s="62">
        <v>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  <c r="U136" s="62">
        <v>0</v>
      </c>
      <c r="V136" s="62">
        <v>0</v>
      </c>
      <c r="W136" s="62">
        <v>0</v>
      </c>
    </row>
    <row r="137" spans="1:23" ht="24" customHeight="1">
      <c r="A137" s="60" t="s">
        <v>144</v>
      </c>
      <c r="B137" s="61" t="s">
        <v>437</v>
      </c>
      <c r="C137" s="62">
        <f t="shared" si="4"/>
        <v>215012</v>
      </c>
      <c r="D137" s="62">
        <v>0</v>
      </c>
      <c r="E137" s="62">
        <v>0</v>
      </c>
      <c r="F137" s="62">
        <v>0</v>
      </c>
      <c r="G137" s="62">
        <v>0</v>
      </c>
      <c r="H137" s="62">
        <v>0</v>
      </c>
      <c r="I137" s="62">
        <v>0</v>
      </c>
      <c r="J137" s="63">
        <v>1</v>
      </c>
      <c r="K137" s="62">
        <v>215012</v>
      </c>
      <c r="L137" s="62">
        <v>0</v>
      </c>
      <c r="M137" s="62">
        <v>0</v>
      </c>
      <c r="N137" s="62">
        <v>0</v>
      </c>
      <c r="O137" s="62">
        <v>0</v>
      </c>
      <c r="P137" s="62">
        <v>0</v>
      </c>
      <c r="Q137" s="62">
        <v>0</v>
      </c>
      <c r="R137" s="62">
        <v>0</v>
      </c>
      <c r="S137" s="62">
        <v>0</v>
      </c>
      <c r="T137" s="62">
        <v>0</v>
      </c>
      <c r="U137" s="62">
        <v>0</v>
      </c>
      <c r="V137" s="62">
        <v>0</v>
      </c>
      <c r="W137" s="62">
        <v>0</v>
      </c>
    </row>
    <row r="138" spans="1:23" ht="24" customHeight="1">
      <c r="A138" s="60" t="s">
        <v>145</v>
      </c>
      <c r="B138" s="61" t="s">
        <v>438</v>
      </c>
      <c r="C138" s="62">
        <f t="shared" si="4"/>
        <v>300000</v>
      </c>
      <c r="D138" s="62">
        <v>0</v>
      </c>
      <c r="E138" s="62">
        <v>0</v>
      </c>
      <c r="F138" s="62">
        <v>0</v>
      </c>
      <c r="G138" s="62">
        <v>0</v>
      </c>
      <c r="H138" s="62">
        <v>0</v>
      </c>
      <c r="I138" s="62">
        <v>0</v>
      </c>
      <c r="J138" s="62">
        <v>0</v>
      </c>
      <c r="K138" s="62">
        <v>0</v>
      </c>
      <c r="L138" s="62">
        <v>0</v>
      </c>
      <c r="M138" s="62">
        <v>0</v>
      </c>
      <c r="N138" s="62">
        <v>0</v>
      </c>
      <c r="O138" s="62">
        <v>0</v>
      </c>
      <c r="P138" s="62">
        <v>200</v>
      </c>
      <c r="Q138" s="62">
        <f>P138*1000</f>
        <v>200000</v>
      </c>
      <c r="R138" s="62">
        <v>0</v>
      </c>
      <c r="S138" s="62">
        <v>0</v>
      </c>
      <c r="T138" s="62">
        <v>0</v>
      </c>
      <c r="U138" s="62">
        <v>0</v>
      </c>
      <c r="V138" s="62">
        <v>0</v>
      </c>
      <c r="W138" s="62">
        <v>100000</v>
      </c>
    </row>
    <row r="139" spans="1:23" ht="24" customHeight="1">
      <c r="A139" s="60" t="s">
        <v>146</v>
      </c>
      <c r="B139" s="61" t="s">
        <v>439</v>
      </c>
      <c r="C139" s="62">
        <f t="shared" si="4"/>
        <v>800000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450</v>
      </c>
      <c r="M139" s="62">
        <v>700000</v>
      </c>
      <c r="N139" s="62">
        <v>0</v>
      </c>
      <c r="O139" s="62">
        <v>0</v>
      </c>
      <c r="P139" s="62">
        <v>0</v>
      </c>
      <c r="Q139" s="62">
        <v>0</v>
      </c>
      <c r="R139" s="62">
        <v>0</v>
      </c>
      <c r="S139" s="62">
        <v>0</v>
      </c>
      <c r="T139" s="62">
        <v>0</v>
      </c>
      <c r="U139" s="62">
        <v>0</v>
      </c>
      <c r="V139" s="62">
        <v>0</v>
      </c>
      <c r="W139" s="62">
        <v>100000</v>
      </c>
    </row>
    <row r="140" spans="1:23" ht="24" customHeight="1">
      <c r="A140" s="60" t="s">
        <v>613</v>
      </c>
      <c r="B140" s="61" t="s">
        <v>440</v>
      </c>
      <c r="C140" s="62">
        <f t="shared" si="4"/>
        <v>800000</v>
      </c>
      <c r="D140" s="62">
        <v>0</v>
      </c>
      <c r="E140" s="62">
        <v>0</v>
      </c>
      <c r="F140" s="62">
        <v>0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450</v>
      </c>
      <c r="M140" s="62">
        <v>700000</v>
      </c>
      <c r="N140" s="62">
        <v>0</v>
      </c>
      <c r="O140" s="62">
        <v>0</v>
      </c>
      <c r="P140" s="62">
        <v>0</v>
      </c>
      <c r="Q140" s="62">
        <v>0</v>
      </c>
      <c r="R140" s="62">
        <v>0</v>
      </c>
      <c r="S140" s="62">
        <v>0</v>
      </c>
      <c r="T140" s="62">
        <v>0</v>
      </c>
      <c r="U140" s="62">
        <v>0</v>
      </c>
      <c r="V140" s="62">
        <v>0</v>
      </c>
      <c r="W140" s="62">
        <v>100000</v>
      </c>
    </row>
    <row r="141" spans="1:23" ht="24" customHeight="1">
      <c r="A141" s="60" t="s">
        <v>614</v>
      </c>
      <c r="B141" s="61" t="s">
        <v>558</v>
      </c>
      <c r="C141" s="62">
        <f t="shared" si="4"/>
        <v>17400</v>
      </c>
      <c r="D141" s="62">
        <v>0</v>
      </c>
      <c r="E141" s="62">
        <v>0</v>
      </c>
      <c r="F141" s="62">
        <v>0</v>
      </c>
      <c r="G141" s="62">
        <v>0</v>
      </c>
      <c r="H141" s="62">
        <v>0</v>
      </c>
      <c r="I141" s="62">
        <v>0</v>
      </c>
      <c r="J141" s="62">
        <v>0</v>
      </c>
      <c r="K141" s="62">
        <v>0</v>
      </c>
      <c r="L141" s="62">
        <v>0</v>
      </c>
      <c r="M141" s="62">
        <v>0</v>
      </c>
      <c r="N141" s="62">
        <v>0</v>
      </c>
      <c r="O141" s="62">
        <v>0</v>
      </c>
      <c r="P141" s="62">
        <v>0</v>
      </c>
      <c r="Q141" s="62">
        <v>0</v>
      </c>
      <c r="R141" s="62">
        <v>0</v>
      </c>
      <c r="S141" s="62">
        <v>0</v>
      </c>
      <c r="T141" s="62">
        <v>0</v>
      </c>
      <c r="U141" s="62">
        <v>0</v>
      </c>
      <c r="V141" s="62">
        <v>0</v>
      </c>
      <c r="W141" s="62">
        <v>17400</v>
      </c>
    </row>
    <row r="142" spans="1:23" ht="24" customHeight="1">
      <c r="A142" s="60" t="s">
        <v>615</v>
      </c>
      <c r="B142" s="61" t="s">
        <v>441</v>
      </c>
      <c r="C142" s="62">
        <f t="shared" si="4"/>
        <v>600000</v>
      </c>
      <c r="D142" s="62">
        <v>0</v>
      </c>
      <c r="E142" s="62">
        <v>0</v>
      </c>
      <c r="F142" s="62">
        <v>0</v>
      </c>
      <c r="G142" s="62">
        <v>500000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2">
        <v>0</v>
      </c>
      <c r="O142" s="62">
        <v>0</v>
      </c>
      <c r="P142" s="62">
        <v>0</v>
      </c>
      <c r="Q142" s="62">
        <v>0</v>
      </c>
      <c r="R142" s="62">
        <v>0</v>
      </c>
      <c r="S142" s="62">
        <v>0</v>
      </c>
      <c r="T142" s="62">
        <v>0</v>
      </c>
      <c r="U142" s="62">
        <v>0</v>
      </c>
      <c r="V142" s="62">
        <v>0</v>
      </c>
      <c r="W142" s="62">
        <v>100000</v>
      </c>
    </row>
    <row r="143" spans="1:23" ht="24" customHeight="1">
      <c r="A143" s="60" t="s">
        <v>616</v>
      </c>
      <c r="B143" s="61" t="s">
        <v>442</v>
      </c>
      <c r="C143" s="62">
        <f t="shared" si="4"/>
        <v>1150000</v>
      </c>
      <c r="D143" s="62">
        <v>0</v>
      </c>
      <c r="E143" s="62">
        <v>0</v>
      </c>
      <c r="F143" s="62">
        <v>0</v>
      </c>
      <c r="G143" s="62">
        <v>0</v>
      </c>
      <c r="H143" s="62">
        <v>0</v>
      </c>
      <c r="I143" s="62">
        <v>0</v>
      </c>
      <c r="J143" s="62">
        <v>0</v>
      </c>
      <c r="K143" s="62">
        <v>0</v>
      </c>
      <c r="L143" s="62">
        <v>350</v>
      </c>
      <c r="M143" s="62">
        <v>600000</v>
      </c>
      <c r="N143" s="62">
        <v>0</v>
      </c>
      <c r="O143" s="62">
        <v>0</v>
      </c>
      <c r="P143" s="62">
        <v>450</v>
      </c>
      <c r="Q143" s="62">
        <f>P143*1000</f>
        <v>450000</v>
      </c>
      <c r="R143" s="62">
        <v>0</v>
      </c>
      <c r="S143" s="62">
        <v>0</v>
      </c>
      <c r="T143" s="62">
        <v>0</v>
      </c>
      <c r="U143" s="62">
        <v>0</v>
      </c>
      <c r="V143" s="62">
        <v>0</v>
      </c>
      <c r="W143" s="62">
        <v>100000</v>
      </c>
    </row>
    <row r="144" spans="1:23" ht="24" customHeight="1">
      <c r="A144" s="60" t="s">
        <v>147</v>
      </c>
      <c r="B144" s="61" t="s">
        <v>443</v>
      </c>
      <c r="C144" s="62">
        <f t="shared" si="4"/>
        <v>1300000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700</v>
      </c>
      <c r="M144" s="62">
        <v>1200000</v>
      </c>
      <c r="N144" s="62">
        <v>0</v>
      </c>
      <c r="O144" s="62">
        <v>0</v>
      </c>
      <c r="P144" s="62">
        <v>0</v>
      </c>
      <c r="Q144" s="62">
        <v>0</v>
      </c>
      <c r="R144" s="62">
        <v>0</v>
      </c>
      <c r="S144" s="62">
        <v>0</v>
      </c>
      <c r="T144" s="62">
        <v>0</v>
      </c>
      <c r="U144" s="62">
        <v>0</v>
      </c>
      <c r="V144" s="62">
        <v>0</v>
      </c>
      <c r="W144" s="62">
        <v>100000</v>
      </c>
    </row>
    <row r="145" spans="1:23" ht="24" customHeight="1">
      <c r="A145" s="60" t="s">
        <v>148</v>
      </c>
      <c r="B145" s="61" t="s">
        <v>444</v>
      </c>
      <c r="C145" s="62">
        <f t="shared" si="4"/>
        <v>800000</v>
      </c>
      <c r="D145" s="62">
        <v>0</v>
      </c>
      <c r="E145" s="62">
        <v>0</v>
      </c>
      <c r="F145" s="62">
        <v>0</v>
      </c>
      <c r="G145" s="62">
        <v>350000</v>
      </c>
      <c r="H145" s="62">
        <v>350000</v>
      </c>
      <c r="I145" s="62">
        <v>0</v>
      </c>
      <c r="J145" s="62">
        <v>0</v>
      </c>
      <c r="K145" s="62">
        <v>0</v>
      </c>
      <c r="L145" s="62">
        <v>0</v>
      </c>
      <c r="M145" s="62">
        <v>0</v>
      </c>
      <c r="N145" s="62">
        <v>0</v>
      </c>
      <c r="O145" s="62">
        <v>0</v>
      </c>
      <c r="P145" s="62">
        <v>0</v>
      </c>
      <c r="Q145" s="62">
        <v>0</v>
      </c>
      <c r="R145" s="62">
        <v>0</v>
      </c>
      <c r="S145" s="62">
        <v>0</v>
      </c>
      <c r="T145" s="62">
        <v>0</v>
      </c>
      <c r="U145" s="62">
        <v>0</v>
      </c>
      <c r="V145" s="62">
        <v>0</v>
      </c>
      <c r="W145" s="62">
        <v>100000</v>
      </c>
    </row>
    <row r="146" spans="1:23" ht="24" customHeight="1">
      <c r="A146" s="60" t="s">
        <v>149</v>
      </c>
      <c r="B146" s="61" t="s">
        <v>445</v>
      </c>
      <c r="C146" s="62">
        <f t="shared" si="4"/>
        <v>550000</v>
      </c>
      <c r="D146" s="62">
        <v>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0</v>
      </c>
      <c r="K146" s="62">
        <v>0</v>
      </c>
      <c r="L146" s="62">
        <v>250</v>
      </c>
      <c r="M146" s="62">
        <v>500000</v>
      </c>
      <c r="N146" s="62">
        <v>0</v>
      </c>
      <c r="O146" s="62">
        <v>0</v>
      </c>
      <c r="P146" s="62">
        <v>0</v>
      </c>
      <c r="Q146" s="62">
        <v>0</v>
      </c>
      <c r="R146" s="62">
        <v>0</v>
      </c>
      <c r="S146" s="62">
        <v>0</v>
      </c>
      <c r="T146" s="62">
        <v>0</v>
      </c>
      <c r="U146" s="62">
        <v>0</v>
      </c>
      <c r="V146" s="62">
        <v>0</v>
      </c>
      <c r="W146" s="62">
        <v>50000</v>
      </c>
    </row>
    <row r="147" spans="1:23" ht="24" customHeight="1">
      <c r="A147" s="60" t="s">
        <v>150</v>
      </c>
      <c r="B147" s="61" t="s">
        <v>446</v>
      </c>
      <c r="C147" s="62">
        <f t="shared" si="4"/>
        <v>1600000</v>
      </c>
      <c r="D147" s="62">
        <v>0</v>
      </c>
      <c r="E147" s="62">
        <v>0</v>
      </c>
      <c r="F147" s="62">
        <v>0</v>
      </c>
      <c r="G147" s="62">
        <v>350000</v>
      </c>
      <c r="H147" s="62">
        <v>350000</v>
      </c>
      <c r="I147" s="62">
        <v>0</v>
      </c>
      <c r="J147" s="62">
        <v>0</v>
      </c>
      <c r="K147" s="62">
        <v>0</v>
      </c>
      <c r="L147" s="62">
        <v>550</v>
      </c>
      <c r="M147" s="62">
        <v>800000</v>
      </c>
      <c r="N147" s="62">
        <v>0</v>
      </c>
      <c r="O147" s="62">
        <v>0</v>
      </c>
      <c r="P147" s="62">
        <v>0</v>
      </c>
      <c r="Q147" s="62">
        <v>0</v>
      </c>
      <c r="R147" s="62">
        <v>0</v>
      </c>
      <c r="S147" s="62">
        <v>0</v>
      </c>
      <c r="T147" s="62">
        <v>0</v>
      </c>
      <c r="U147" s="62">
        <v>0</v>
      </c>
      <c r="V147" s="62">
        <v>0</v>
      </c>
      <c r="W147" s="62">
        <v>100000</v>
      </c>
    </row>
    <row r="148" spans="1:23" ht="24" customHeight="1">
      <c r="A148" s="60" t="s">
        <v>151</v>
      </c>
      <c r="B148" s="61" t="s">
        <v>447</v>
      </c>
      <c r="C148" s="62">
        <f aca="true" t="shared" si="5" ref="C148:C180">D148+E148+F148+G148+H148+I148+K148+M148+O148+Q148+R148+T148+U148+V148+W148</f>
        <v>651870</v>
      </c>
      <c r="D148" s="62">
        <v>0</v>
      </c>
      <c r="E148" s="62">
        <v>0</v>
      </c>
      <c r="F148" s="62">
        <v>0</v>
      </c>
      <c r="G148" s="62">
        <v>323950</v>
      </c>
      <c r="H148" s="62">
        <v>227920</v>
      </c>
      <c r="I148" s="62">
        <v>0</v>
      </c>
      <c r="J148" s="62">
        <v>0</v>
      </c>
      <c r="K148" s="62">
        <v>0</v>
      </c>
      <c r="L148" s="62">
        <v>0</v>
      </c>
      <c r="M148" s="62">
        <v>0</v>
      </c>
      <c r="N148" s="62">
        <v>0</v>
      </c>
      <c r="O148" s="62">
        <v>0</v>
      </c>
      <c r="P148" s="62">
        <v>0</v>
      </c>
      <c r="Q148" s="62">
        <v>0</v>
      </c>
      <c r="R148" s="62">
        <v>0</v>
      </c>
      <c r="S148" s="62">
        <v>0</v>
      </c>
      <c r="T148" s="62">
        <v>0</v>
      </c>
      <c r="U148" s="62">
        <v>0</v>
      </c>
      <c r="V148" s="62">
        <v>0</v>
      </c>
      <c r="W148" s="62">
        <v>100000</v>
      </c>
    </row>
    <row r="149" spans="1:23" ht="24" customHeight="1">
      <c r="A149" s="60" t="s">
        <v>152</v>
      </c>
      <c r="B149" s="61" t="s">
        <v>448</v>
      </c>
      <c r="C149" s="62">
        <f t="shared" si="5"/>
        <v>1007500</v>
      </c>
      <c r="D149" s="62">
        <v>0</v>
      </c>
      <c r="E149" s="62">
        <v>0</v>
      </c>
      <c r="F149" s="62">
        <v>0</v>
      </c>
      <c r="G149" s="62">
        <v>1007500</v>
      </c>
      <c r="H149" s="62">
        <v>0</v>
      </c>
      <c r="I149" s="62">
        <v>0</v>
      </c>
      <c r="J149" s="62">
        <v>0</v>
      </c>
      <c r="K149" s="62">
        <v>0</v>
      </c>
      <c r="L149" s="62">
        <v>0</v>
      </c>
      <c r="M149" s="62">
        <v>0</v>
      </c>
      <c r="N149" s="62">
        <v>0</v>
      </c>
      <c r="O149" s="62">
        <v>0</v>
      </c>
      <c r="P149" s="62">
        <v>0</v>
      </c>
      <c r="Q149" s="62">
        <v>0</v>
      </c>
      <c r="R149" s="62">
        <v>0</v>
      </c>
      <c r="S149" s="62">
        <v>0</v>
      </c>
      <c r="T149" s="62">
        <v>0</v>
      </c>
      <c r="U149" s="62">
        <v>0</v>
      </c>
      <c r="V149" s="62">
        <v>0</v>
      </c>
      <c r="W149" s="62">
        <v>0</v>
      </c>
    </row>
    <row r="150" spans="1:23" ht="24" customHeight="1">
      <c r="A150" s="60" t="s">
        <v>153</v>
      </c>
      <c r="B150" s="61" t="s">
        <v>449</v>
      </c>
      <c r="C150" s="62">
        <f t="shared" si="5"/>
        <v>1192055</v>
      </c>
      <c r="D150" s="62">
        <v>0</v>
      </c>
      <c r="E150" s="62">
        <v>0</v>
      </c>
      <c r="F150" s="62">
        <v>0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62">
        <v>821</v>
      </c>
      <c r="M150" s="62">
        <v>1092055</v>
      </c>
      <c r="N150" s="62">
        <v>0</v>
      </c>
      <c r="O150" s="62">
        <v>0</v>
      </c>
      <c r="P150" s="62">
        <v>0</v>
      </c>
      <c r="Q150" s="62">
        <v>0</v>
      </c>
      <c r="R150" s="62">
        <v>0</v>
      </c>
      <c r="S150" s="62">
        <v>0</v>
      </c>
      <c r="T150" s="62">
        <v>0</v>
      </c>
      <c r="U150" s="62">
        <v>0</v>
      </c>
      <c r="V150" s="62">
        <v>0</v>
      </c>
      <c r="W150" s="62">
        <v>100000</v>
      </c>
    </row>
    <row r="151" spans="1:23" ht="24" customHeight="1">
      <c r="A151" s="60" t="s">
        <v>154</v>
      </c>
      <c r="B151" s="61" t="s">
        <v>450</v>
      </c>
      <c r="C151" s="62">
        <f t="shared" si="5"/>
        <v>700000</v>
      </c>
      <c r="D151" s="62">
        <v>0</v>
      </c>
      <c r="E151" s="62">
        <v>0</v>
      </c>
      <c r="F151" s="62">
        <v>0</v>
      </c>
      <c r="G151" s="62">
        <v>0</v>
      </c>
      <c r="H151" s="62">
        <v>0</v>
      </c>
      <c r="I151" s="62">
        <v>0</v>
      </c>
      <c r="J151" s="62">
        <v>0</v>
      </c>
      <c r="K151" s="62">
        <v>0</v>
      </c>
      <c r="L151" s="62">
        <v>350</v>
      </c>
      <c r="M151" s="62">
        <v>600000</v>
      </c>
      <c r="N151" s="62">
        <v>0</v>
      </c>
      <c r="O151" s="62">
        <v>0</v>
      </c>
      <c r="P151" s="62">
        <v>0</v>
      </c>
      <c r="Q151" s="62">
        <v>0</v>
      </c>
      <c r="R151" s="62">
        <v>0</v>
      </c>
      <c r="S151" s="62">
        <v>0</v>
      </c>
      <c r="T151" s="62">
        <v>0</v>
      </c>
      <c r="U151" s="62">
        <v>0</v>
      </c>
      <c r="V151" s="62">
        <v>0</v>
      </c>
      <c r="W151" s="62">
        <v>100000</v>
      </c>
    </row>
    <row r="152" spans="1:23" ht="24" customHeight="1">
      <c r="A152" s="60" t="s">
        <v>155</v>
      </c>
      <c r="B152" s="61" t="s">
        <v>451</v>
      </c>
      <c r="C152" s="62">
        <f t="shared" si="5"/>
        <v>1300000</v>
      </c>
      <c r="D152" s="62">
        <v>0</v>
      </c>
      <c r="E152" s="62">
        <v>0</v>
      </c>
      <c r="F152" s="62">
        <v>0</v>
      </c>
      <c r="G152" s="62">
        <v>0</v>
      </c>
      <c r="H152" s="62">
        <v>0</v>
      </c>
      <c r="I152" s="62">
        <v>0</v>
      </c>
      <c r="J152" s="62">
        <v>0</v>
      </c>
      <c r="K152" s="62">
        <v>0</v>
      </c>
      <c r="L152" s="62">
        <v>700</v>
      </c>
      <c r="M152" s="62">
        <v>1200000</v>
      </c>
      <c r="N152" s="62">
        <v>0</v>
      </c>
      <c r="O152" s="62">
        <v>0</v>
      </c>
      <c r="P152" s="62">
        <v>0</v>
      </c>
      <c r="Q152" s="62">
        <v>0</v>
      </c>
      <c r="R152" s="62">
        <v>0</v>
      </c>
      <c r="S152" s="62">
        <v>0</v>
      </c>
      <c r="T152" s="62">
        <v>0</v>
      </c>
      <c r="U152" s="62">
        <v>0</v>
      </c>
      <c r="V152" s="62">
        <v>0</v>
      </c>
      <c r="W152" s="62">
        <v>100000</v>
      </c>
    </row>
    <row r="153" spans="1:23" ht="24" customHeight="1">
      <c r="A153" s="60" t="s">
        <v>303</v>
      </c>
      <c r="B153" s="61" t="s">
        <v>579</v>
      </c>
      <c r="C153" s="62">
        <f t="shared" si="5"/>
        <v>800000</v>
      </c>
      <c r="D153" s="62">
        <v>0</v>
      </c>
      <c r="E153" s="62">
        <v>0</v>
      </c>
      <c r="F153" s="62">
        <v>0</v>
      </c>
      <c r="G153" s="62">
        <v>0</v>
      </c>
      <c r="H153" s="62">
        <v>0</v>
      </c>
      <c r="I153" s="62">
        <v>0</v>
      </c>
      <c r="J153" s="62">
        <v>0</v>
      </c>
      <c r="K153" s="62">
        <v>0</v>
      </c>
      <c r="L153" s="62">
        <v>0</v>
      </c>
      <c r="M153" s="62">
        <v>0</v>
      </c>
      <c r="N153" s="62">
        <v>0</v>
      </c>
      <c r="O153" s="62">
        <v>0</v>
      </c>
      <c r="P153" s="62">
        <v>0</v>
      </c>
      <c r="Q153" s="62">
        <v>0</v>
      </c>
      <c r="R153" s="62">
        <v>0</v>
      </c>
      <c r="S153" s="62">
        <v>0</v>
      </c>
      <c r="T153" s="62">
        <v>0</v>
      </c>
      <c r="U153" s="62">
        <v>0</v>
      </c>
      <c r="V153" s="62">
        <v>0</v>
      </c>
      <c r="W153" s="62">
        <v>800000</v>
      </c>
    </row>
    <row r="154" spans="1:23" ht="24" customHeight="1">
      <c r="A154" s="60" t="s">
        <v>156</v>
      </c>
      <c r="B154" s="61" t="s">
        <v>452</v>
      </c>
      <c r="C154" s="62">
        <f t="shared" si="5"/>
        <v>1200000</v>
      </c>
      <c r="D154" s="62">
        <v>0</v>
      </c>
      <c r="E154" s="62">
        <v>0</v>
      </c>
      <c r="F154" s="62">
        <v>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700</v>
      </c>
      <c r="M154" s="62">
        <v>1200000</v>
      </c>
      <c r="N154" s="62">
        <v>0</v>
      </c>
      <c r="O154" s="62">
        <v>0</v>
      </c>
      <c r="P154" s="62">
        <v>0</v>
      </c>
      <c r="Q154" s="62">
        <v>0</v>
      </c>
      <c r="R154" s="62">
        <v>0</v>
      </c>
      <c r="S154" s="62">
        <v>0</v>
      </c>
      <c r="T154" s="62">
        <v>0</v>
      </c>
      <c r="U154" s="62">
        <v>0</v>
      </c>
      <c r="V154" s="62">
        <v>0</v>
      </c>
      <c r="W154" s="62">
        <v>0</v>
      </c>
    </row>
    <row r="155" spans="1:23" ht="24" customHeight="1">
      <c r="A155" s="60" t="s">
        <v>157</v>
      </c>
      <c r="B155" s="61" t="s">
        <v>453</v>
      </c>
      <c r="C155" s="62">
        <f t="shared" si="5"/>
        <v>1300000</v>
      </c>
      <c r="D155" s="62">
        <v>0</v>
      </c>
      <c r="E155" s="62">
        <v>0</v>
      </c>
      <c r="F155" s="62">
        <v>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700</v>
      </c>
      <c r="M155" s="62">
        <v>1200000</v>
      </c>
      <c r="N155" s="62">
        <v>0</v>
      </c>
      <c r="O155" s="62">
        <v>0</v>
      </c>
      <c r="P155" s="62">
        <v>0</v>
      </c>
      <c r="Q155" s="62">
        <v>0</v>
      </c>
      <c r="R155" s="62">
        <v>0</v>
      </c>
      <c r="S155" s="62">
        <v>0</v>
      </c>
      <c r="T155" s="62">
        <v>0</v>
      </c>
      <c r="U155" s="62">
        <v>0</v>
      </c>
      <c r="V155" s="62">
        <v>0</v>
      </c>
      <c r="W155" s="62">
        <v>100000</v>
      </c>
    </row>
    <row r="156" spans="1:23" ht="24" customHeight="1">
      <c r="A156" s="60" t="s">
        <v>158</v>
      </c>
      <c r="B156" s="61" t="s">
        <v>454</v>
      </c>
      <c r="C156" s="62">
        <f t="shared" si="5"/>
        <v>1524500</v>
      </c>
      <c r="D156" s="62">
        <v>0</v>
      </c>
      <c r="E156" s="62">
        <v>0</v>
      </c>
      <c r="F156" s="62">
        <v>0</v>
      </c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770</v>
      </c>
      <c r="M156" s="62">
        <v>1424500</v>
      </c>
      <c r="N156" s="62">
        <v>0</v>
      </c>
      <c r="O156" s="62">
        <v>0</v>
      </c>
      <c r="P156" s="62">
        <v>0</v>
      </c>
      <c r="Q156" s="62">
        <v>0</v>
      </c>
      <c r="R156" s="62">
        <v>0</v>
      </c>
      <c r="S156" s="62">
        <v>0</v>
      </c>
      <c r="T156" s="62">
        <v>0</v>
      </c>
      <c r="U156" s="62">
        <v>0</v>
      </c>
      <c r="V156" s="62">
        <v>0</v>
      </c>
      <c r="W156" s="62">
        <v>100000</v>
      </c>
    </row>
    <row r="157" spans="1:23" ht="24" customHeight="1">
      <c r="A157" s="60" t="s">
        <v>159</v>
      </c>
      <c r="B157" s="61" t="s">
        <v>455</v>
      </c>
      <c r="C157" s="62">
        <f t="shared" si="5"/>
        <v>2305840</v>
      </c>
      <c r="D157" s="62">
        <v>0</v>
      </c>
      <c r="E157" s="62">
        <v>0</v>
      </c>
      <c r="F157" s="62">
        <v>0</v>
      </c>
      <c r="G157" s="62">
        <v>325500</v>
      </c>
      <c r="H157" s="62">
        <v>455840</v>
      </c>
      <c r="I157" s="62">
        <v>0</v>
      </c>
      <c r="J157" s="62">
        <v>0</v>
      </c>
      <c r="K157" s="62">
        <v>0</v>
      </c>
      <c r="L157" s="62">
        <v>770</v>
      </c>
      <c r="M157" s="62">
        <v>1424500</v>
      </c>
      <c r="N157" s="62">
        <v>0</v>
      </c>
      <c r="O157" s="62">
        <v>0</v>
      </c>
      <c r="P157" s="62">
        <v>0</v>
      </c>
      <c r="Q157" s="62">
        <v>0</v>
      </c>
      <c r="R157" s="62">
        <v>0</v>
      </c>
      <c r="S157" s="62">
        <v>0</v>
      </c>
      <c r="T157" s="62">
        <v>0</v>
      </c>
      <c r="U157" s="62">
        <v>0</v>
      </c>
      <c r="V157" s="62">
        <v>0</v>
      </c>
      <c r="W157" s="62">
        <v>100000</v>
      </c>
    </row>
    <row r="158" spans="1:23" ht="24" customHeight="1">
      <c r="A158" s="60" t="s">
        <v>160</v>
      </c>
      <c r="B158" s="61" t="s">
        <v>577</v>
      </c>
      <c r="C158" s="62">
        <f t="shared" si="5"/>
        <v>2678250</v>
      </c>
      <c r="D158" s="62">
        <v>0</v>
      </c>
      <c r="E158" s="62">
        <v>0</v>
      </c>
      <c r="F158" s="62">
        <v>0</v>
      </c>
      <c r="G158" s="62">
        <v>0</v>
      </c>
      <c r="H158" s="62">
        <v>0</v>
      </c>
      <c r="I158" s="62">
        <v>0</v>
      </c>
      <c r="J158" s="62">
        <v>0</v>
      </c>
      <c r="K158" s="62">
        <v>0</v>
      </c>
      <c r="L158" s="62">
        <v>1025</v>
      </c>
      <c r="M158" s="62">
        <f>L158*1850</f>
        <v>1896250</v>
      </c>
      <c r="N158" s="62">
        <v>0</v>
      </c>
      <c r="O158" s="62">
        <v>0</v>
      </c>
      <c r="P158" s="62">
        <v>732</v>
      </c>
      <c r="Q158" s="62">
        <f>P158*1000</f>
        <v>732000</v>
      </c>
      <c r="R158" s="62">
        <v>0</v>
      </c>
      <c r="S158" s="62">
        <v>0</v>
      </c>
      <c r="T158" s="62">
        <v>0</v>
      </c>
      <c r="U158" s="62">
        <v>0</v>
      </c>
      <c r="V158" s="62">
        <v>0</v>
      </c>
      <c r="W158" s="62">
        <v>50000</v>
      </c>
    </row>
    <row r="159" spans="1:23" ht="24" customHeight="1">
      <c r="A159" s="60" t="s">
        <v>161</v>
      </c>
      <c r="B159" s="61" t="s">
        <v>458</v>
      </c>
      <c r="C159" s="62">
        <f t="shared" si="5"/>
        <v>350000</v>
      </c>
      <c r="D159" s="62">
        <v>0</v>
      </c>
      <c r="E159" s="62">
        <v>0</v>
      </c>
      <c r="F159" s="62">
        <v>0</v>
      </c>
      <c r="G159" s="62">
        <v>0</v>
      </c>
      <c r="H159" s="62">
        <v>250000</v>
      </c>
      <c r="I159" s="62">
        <v>0</v>
      </c>
      <c r="J159" s="62">
        <v>0</v>
      </c>
      <c r="K159" s="62">
        <v>0</v>
      </c>
      <c r="L159" s="62">
        <v>0</v>
      </c>
      <c r="M159" s="62">
        <v>0</v>
      </c>
      <c r="N159" s="62">
        <v>0</v>
      </c>
      <c r="O159" s="62">
        <v>0</v>
      </c>
      <c r="P159" s="62">
        <v>0</v>
      </c>
      <c r="Q159" s="62">
        <v>0</v>
      </c>
      <c r="R159" s="62">
        <v>0</v>
      </c>
      <c r="S159" s="62">
        <v>0</v>
      </c>
      <c r="T159" s="62">
        <v>0</v>
      </c>
      <c r="U159" s="62">
        <v>0</v>
      </c>
      <c r="V159" s="62">
        <v>0</v>
      </c>
      <c r="W159" s="62">
        <v>100000</v>
      </c>
    </row>
    <row r="160" spans="1:23" ht="24" customHeight="1">
      <c r="A160" s="60" t="s">
        <v>162</v>
      </c>
      <c r="B160" s="61" t="s">
        <v>459</v>
      </c>
      <c r="C160" s="62">
        <f t="shared" si="5"/>
        <v>750000</v>
      </c>
      <c r="D160" s="62">
        <v>0</v>
      </c>
      <c r="E160" s="62">
        <v>0</v>
      </c>
      <c r="F160" s="62">
        <v>0</v>
      </c>
      <c r="G160" s="62">
        <v>0</v>
      </c>
      <c r="H160" s="62">
        <v>250000</v>
      </c>
      <c r="I160" s="62">
        <v>0</v>
      </c>
      <c r="J160" s="62">
        <v>0</v>
      </c>
      <c r="K160" s="62">
        <v>0</v>
      </c>
      <c r="L160" s="62">
        <v>250</v>
      </c>
      <c r="M160" s="62">
        <v>400000</v>
      </c>
      <c r="N160" s="62">
        <v>0</v>
      </c>
      <c r="O160" s="62">
        <v>0</v>
      </c>
      <c r="P160" s="62">
        <v>0</v>
      </c>
      <c r="Q160" s="62">
        <v>0</v>
      </c>
      <c r="R160" s="62">
        <v>0</v>
      </c>
      <c r="S160" s="62">
        <v>0</v>
      </c>
      <c r="T160" s="62">
        <v>0</v>
      </c>
      <c r="U160" s="62">
        <v>0</v>
      </c>
      <c r="V160" s="62">
        <v>0</v>
      </c>
      <c r="W160" s="62">
        <v>100000</v>
      </c>
    </row>
    <row r="161" spans="1:23" ht="24" customHeight="1">
      <c r="A161" s="60" t="s">
        <v>163</v>
      </c>
      <c r="B161" s="61" t="s">
        <v>460</v>
      </c>
      <c r="C161" s="62">
        <f t="shared" si="5"/>
        <v>700000</v>
      </c>
      <c r="D161" s="62">
        <v>0</v>
      </c>
      <c r="E161" s="62">
        <v>0</v>
      </c>
      <c r="F161" s="62">
        <v>0</v>
      </c>
      <c r="G161" s="62">
        <v>350000</v>
      </c>
      <c r="H161" s="62">
        <v>350000</v>
      </c>
      <c r="I161" s="62">
        <v>0</v>
      </c>
      <c r="J161" s="62">
        <v>0</v>
      </c>
      <c r="K161" s="62">
        <v>0</v>
      </c>
      <c r="L161" s="62">
        <v>0</v>
      </c>
      <c r="M161" s="62">
        <v>0</v>
      </c>
      <c r="N161" s="62">
        <v>0</v>
      </c>
      <c r="O161" s="62">
        <v>0</v>
      </c>
      <c r="P161" s="62">
        <v>0</v>
      </c>
      <c r="Q161" s="62">
        <v>0</v>
      </c>
      <c r="R161" s="62">
        <v>0</v>
      </c>
      <c r="S161" s="62">
        <v>0</v>
      </c>
      <c r="T161" s="62">
        <v>0</v>
      </c>
      <c r="U161" s="62">
        <v>0</v>
      </c>
      <c r="V161" s="62">
        <v>0</v>
      </c>
      <c r="W161" s="62">
        <v>0</v>
      </c>
    </row>
    <row r="162" spans="1:23" ht="24" customHeight="1">
      <c r="A162" s="60" t="s">
        <v>164</v>
      </c>
      <c r="B162" s="61" t="s">
        <v>461</v>
      </c>
      <c r="C162" s="62">
        <f t="shared" si="5"/>
        <v>350000</v>
      </c>
      <c r="D162" s="62">
        <v>0</v>
      </c>
      <c r="E162" s="62">
        <v>0</v>
      </c>
      <c r="F162" s="62">
        <v>0</v>
      </c>
      <c r="G162" s="62">
        <v>0</v>
      </c>
      <c r="H162" s="62">
        <v>250000</v>
      </c>
      <c r="I162" s="62">
        <v>0</v>
      </c>
      <c r="J162" s="62">
        <v>0</v>
      </c>
      <c r="K162" s="62">
        <v>0</v>
      </c>
      <c r="L162" s="62">
        <v>0</v>
      </c>
      <c r="M162" s="62">
        <v>0</v>
      </c>
      <c r="N162" s="62">
        <v>0</v>
      </c>
      <c r="O162" s="62">
        <v>0</v>
      </c>
      <c r="P162" s="62">
        <v>0</v>
      </c>
      <c r="Q162" s="62">
        <v>0</v>
      </c>
      <c r="R162" s="62">
        <v>0</v>
      </c>
      <c r="S162" s="62">
        <v>0</v>
      </c>
      <c r="T162" s="62">
        <v>0</v>
      </c>
      <c r="U162" s="62">
        <v>0</v>
      </c>
      <c r="V162" s="62">
        <v>0</v>
      </c>
      <c r="W162" s="62">
        <v>100000</v>
      </c>
    </row>
    <row r="163" spans="1:23" ht="24" customHeight="1">
      <c r="A163" s="60" t="s">
        <v>165</v>
      </c>
      <c r="B163" s="61" t="s">
        <v>462</v>
      </c>
      <c r="C163" s="62">
        <f t="shared" si="5"/>
        <v>5636200</v>
      </c>
      <c r="D163" s="62">
        <v>0</v>
      </c>
      <c r="E163" s="62">
        <v>0</v>
      </c>
      <c r="F163" s="62">
        <v>0</v>
      </c>
      <c r="G163" s="62">
        <v>2480000</v>
      </c>
      <c r="H163" s="62">
        <v>1450400</v>
      </c>
      <c r="I163" s="62">
        <v>0</v>
      </c>
      <c r="J163" s="62">
        <v>0</v>
      </c>
      <c r="K163" s="62">
        <v>0</v>
      </c>
      <c r="L163" s="62">
        <v>868</v>
      </c>
      <c r="M163" s="62">
        <v>1605800</v>
      </c>
      <c r="N163" s="62">
        <v>0</v>
      </c>
      <c r="O163" s="62">
        <v>0</v>
      </c>
      <c r="P163" s="62">
        <v>0</v>
      </c>
      <c r="Q163" s="62">
        <v>0</v>
      </c>
      <c r="R163" s="62">
        <v>0</v>
      </c>
      <c r="S163" s="62">
        <v>0</v>
      </c>
      <c r="T163" s="62">
        <v>0</v>
      </c>
      <c r="U163" s="62">
        <v>0</v>
      </c>
      <c r="V163" s="62">
        <v>0</v>
      </c>
      <c r="W163" s="62">
        <v>100000</v>
      </c>
    </row>
    <row r="164" spans="1:23" ht="24" customHeight="1">
      <c r="A164" s="60" t="s">
        <v>166</v>
      </c>
      <c r="B164" s="61" t="s">
        <v>463</v>
      </c>
      <c r="C164" s="62">
        <f t="shared" si="5"/>
        <v>1208909</v>
      </c>
      <c r="D164" s="62">
        <v>0</v>
      </c>
      <c r="E164" s="62">
        <v>0</v>
      </c>
      <c r="F164" s="62">
        <v>0</v>
      </c>
      <c r="G164" s="62">
        <v>252146</v>
      </c>
      <c r="H164" s="62">
        <v>184575</v>
      </c>
      <c r="I164" s="62">
        <v>0</v>
      </c>
      <c r="J164" s="62">
        <v>0</v>
      </c>
      <c r="K164" s="62">
        <v>0</v>
      </c>
      <c r="L164" s="62">
        <v>300</v>
      </c>
      <c r="M164" s="62">
        <v>672188</v>
      </c>
      <c r="N164" s="62">
        <v>0</v>
      </c>
      <c r="O164" s="62">
        <v>0</v>
      </c>
      <c r="P164" s="62">
        <v>0</v>
      </c>
      <c r="Q164" s="62">
        <v>0</v>
      </c>
      <c r="R164" s="62">
        <v>0</v>
      </c>
      <c r="S164" s="62">
        <v>0</v>
      </c>
      <c r="T164" s="62">
        <v>0</v>
      </c>
      <c r="U164" s="62">
        <v>0</v>
      </c>
      <c r="V164" s="62">
        <v>0</v>
      </c>
      <c r="W164" s="62">
        <v>100000</v>
      </c>
    </row>
    <row r="165" spans="1:23" ht="24" customHeight="1">
      <c r="A165" s="60" t="s">
        <v>167</v>
      </c>
      <c r="B165" s="61" t="s">
        <v>464</v>
      </c>
      <c r="C165" s="62">
        <f t="shared" si="5"/>
        <v>962640</v>
      </c>
      <c r="D165" s="62">
        <v>0</v>
      </c>
      <c r="E165" s="62">
        <v>0</v>
      </c>
      <c r="F165" s="62">
        <v>0</v>
      </c>
      <c r="G165" s="62">
        <v>0</v>
      </c>
      <c r="H165" s="62">
        <v>184320</v>
      </c>
      <c r="I165" s="62">
        <v>0</v>
      </c>
      <c r="J165" s="62">
        <v>0</v>
      </c>
      <c r="K165" s="62">
        <v>0</v>
      </c>
      <c r="L165" s="62">
        <v>350</v>
      </c>
      <c r="M165" s="62">
        <v>678320</v>
      </c>
      <c r="N165" s="62">
        <v>0</v>
      </c>
      <c r="O165" s="62">
        <v>0</v>
      </c>
      <c r="P165" s="62">
        <v>0</v>
      </c>
      <c r="Q165" s="62">
        <v>0</v>
      </c>
      <c r="R165" s="62">
        <v>0</v>
      </c>
      <c r="S165" s="62">
        <v>0</v>
      </c>
      <c r="T165" s="62">
        <v>0</v>
      </c>
      <c r="U165" s="62">
        <v>0</v>
      </c>
      <c r="V165" s="62">
        <v>0</v>
      </c>
      <c r="W165" s="62">
        <v>100000</v>
      </c>
    </row>
    <row r="166" spans="1:23" ht="24" customHeight="1">
      <c r="A166" s="60" t="s">
        <v>168</v>
      </c>
      <c r="B166" s="61" t="s">
        <v>465</v>
      </c>
      <c r="C166" s="62">
        <f t="shared" si="5"/>
        <v>450000</v>
      </c>
      <c r="D166" s="62">
        <v>0</v>
      </c>
      <c r="E166" s="62">
        <v>0</v>
      </c>
      <c r="F166" s="62">
        <v>0</v>
      </c>
      <c r="G166" s="62">
        <v>0</v>
      </c>
      <c r="H166" s="62">
        <v>350000</v>
      </c>
      <c r="I166" s="62">
        <v>0</v>
      </c>
      <c r="J166" s="62">
        <v>0</v>
      </c>
      <c r="K166" s="62">
        <v>0</v>
      </c>
      <c r="L166" s="62">
        <v>0</v>
      </c>
      <c r="M166" s="62">
        <v>0</v>
      </c>
      <c r="N166" s="62">
        <v>0</v>
      </c>
      <c r="O166" s="62">
        <v>0</v>
      </c>
      <c r="P166" s="62">
        <v>0</v>
      </c>
      <c r="Q166" s="62">
        <v>0</v>
      </c>
      <c r="R166" s="62">
        <v>0</v>
      </c>
      <c r="S166" s="62">
        <v>0</v>
      </c>
      <c r="T166" s="62">
        <v>0</v>
      </c>
      <c r="U166" s="62">
        <v>0</v>
      </c>
      <c r="V166" s="62">
        <v>0</v>
      </c>
      <c r="W166" s="62">
        <v>100000</v>
      </c>
    </row>
    <row r="167" spans="1:23" ht="24" customHeight="1">
      <c r="A167" s="60" t="s">
        <v>169</v>
      </c>
      <c r="B167" s="61" t="s">
        <v>350</v>
      </c>
      <c r="C167" s="62">
        <f t="shared" si="5"/>
        <v>1000000</v>
      </c>
      <c r="D167" s="62">
        <v>0</v>
      </c>
      <c r="E167" s="62">
        <v>900000</v>
      </c>
      <c r="F167" s="62">
        <v>0</v>
      </c>
      <c r="G167" s="62">
        <v>0</v>
      </c>
      <c r="H167" s="62">
        <v>0</v>
      </c>
      <c r="I167" s="62">
        <v>0</v>
      </c>
      <c r="J167" s="62">
        <v>0</v>
      </c>
      <c r="K167" s="62">
        <v>0</v>
      </c>
      <c r="L167" s="62">
        <v>0</v>
      </c>
      <c r="M167" s="62">
        <v>0</v>
      </c>
      <c r="N167" s="62">
        <v>0</v>
      </c>
      <c r="O167" s="62">
        <v>0</v>
      </c>
      <c r="P167" s="62">
        <v>0</v>
      </c>
      <c r="Q167" s="62">
        <v>0</v>
      </c>
      <c r="R167" s="62">
        <v>0</v>
      </c>
      <c r="S167" s="62">
        <v>0</v>
      </c>
      <c r="T167" s="62">
        <v>0</v>
      </c>
      <c r="U167" s="62">
        <v>0</v>
      </c>
      <c r="V167" s="62">
        <v>0</v>
      </c>
      <c r="W167" s="62">
        <v>100000</v>
      </c>
    </row>
    <row r="168" spans="1:23" ht="24" customHeight="1">
      <c r="A168" s="60" t="s">
        <v>170</v>
      </c>
      <c r="B168" s="61" t="s">
        <v>351</v>
      </c>
      <c r="C168" s="62">
        <f t="shared" si="5"/>
        <v>1700000</v>
      </c>
      <c r="D168" s="62">
        <v>0</v>
      </c>
      <c r="E168" s="62">
        <v>0</v>
      </c>
      <c r="F168" s="62">
        <v>0</v>
      </c>
      <c r="G168" s="62">
        <v>0</v>
      </c>
      <c r="H168" s="62">
        <v>0</v>
      </c>
      <c r="I168" s="62">
        <v>0</v>
      </c>
      <c r="J168" s="62">
        <v>0</v>
      </c>
      <c r="K168" s="62">
        <v>0</v>
      </c>
      <c r="L168" s="62">
        <v>1000</v>
      </c>
      <c r="M168" s="62">
        <v>1600000</v>
      </c>
      <c r="N168" s="62">
        <v>0</v>
      </c>
      <c r="O168" s="62">
        <v>0</v>
      </c>
      <c r="P168" s="62">
        <v>0</v>
      </c>
      <c r="Q168" s="62">
        <v>0</v>
      </c>
      <c r="R168" s="62">
        <v>0</v>
      </c>
      <c r="S168" s="62">
        <v>0</v>
      </c>
      <c r="T168" s="62">
        <v>0</v>
      </c>
      <c r="U168" s="62">
        <v>0</v>
      </c>
      <c r="V168" s="62">
        <v>0</v>
      </c>
      <c r="W168" s="62">
        <v>100000</v>
      </c>
    </row>
    <row r="169" spans="1:23" ht="24" customHeight="1">
      <c r="A169" s="60" t="s">
        <v>171</v>
      </c>
      <c r="B169" s="61" t="s">
        <v>352</v>
      </c>
      <c r="C169" s="62">
        <f t="shared" si="5"/>
        <v>600000</v>
      </c>
      <c r="D169" s="62">
        <v>0</v>
      </c>
      <c r="E169" s="62">
        <v>0</v>
      </c>
      <c r="F169" s="62">
        <v>0</v>
      </c>
      <c r="G169" s="62">
        <v>0</v>
      </c>
      <c r="H169" s="62">
        <v>0</v>
      </c>
      <c r="I169" s="62">
        <v>0</v>
      </c>
      <c r="J169" s="62">
        <v>0</v>
      </c>
      <c r="K169" s="62">
        <v>0</v>
      </c>
      <c r="L169" s="62">
        <v>0</v>
      </c>
      <c r="M169" s="62">
        <v>0</v>
      </c>
      <c r="N169" s="62">
        <v>0</v>
      </c>
      <c r="O169" s="62">
        <v>0</v>
      </c>
      <c r="P169" s="62">
        <v>500</v>
      </c>
      <c r="Q169" s="62">
        <f>P169*1000</f>
        <v>500000</v>
      </c>
      <c r="R169" s="62">
        <v>0</v>
      </c>
      <c r="S169" s="62">
        <v>0</v>
      </c>
      <c r="T169" s="62">
        <v>0</v>
      </c>
      <c r="U169" s="62">
        <v>0</v>
      </c>
      <c r="V169" s="62">
        <v>0</v>
      </c>
      <c r="W169" s="62">
        <v>100000</v>
      </c>
    </row>
    <row r="170" spans="1:23" ht="24" customHeight="1">
      <c r="A170" s="60" t="s">
        <v>304</v>
      </c>
      <c r="B170" s="61" t="s">
        <v>353</v>
      </c>
      <c r="C170" s="62">
        <f t="shared" si="5"/>
        <v>1400000</v>
      </c>
      <c r="D170" s="62">
        <v>0</v>
      </c>
      <c r="E170" s="62">
        <v>0</v>
      </c>
      <c r="F170" s="62">
        <v>0</v>
      </c>
      <c r="G170" s="62">
        <v>0</v>
      </c>
      <c r="H170" s="62">
        <v>0</v>
      </c>
      <c r="I170" s="62">
        <v>0</v>
      </c>
      <c r="J170" s="62">
        <v>0</v>
      </c>
      <c r="K170" s="62">
        <v>0</v>
      </c>
      <c r="L170" s="62">
        <v>800</v>
      </c>
      <c r="M170" s="62">
        <v>1400000</v>
      </c>
      <c r="N170" s="62">
        <v>0</v>
      </c>
      <c r="O170" s="62">
        <v>0</v>
      </c>
      <c r="P170" s="62">
        <v>0</v>
      </c>
      <c r="Q170" s="62">
        <v>0</v>
      </c>
      <c r="R170" s="62">
        <v>0</v>
      </c>
      <c r="S170" s="62">
        <v>0</v>
      </c>
      <c r="T170" s="62">
        <v>0</v>
      </c>
      <c r="U170" s="62">
        <v>0</v>
      </c>
      <c r="V170" s="62">
        <v>0</v>
      </c>
      <c r="W170" s="62">
        <v>0</v>
      </c>
    </row>
    <row r="171" spans="1:23" ht="24" customHeight="1">
      <c r="A171" s="60" t="s">
        <v>212</v>
      </c>
      <c r="B171" s="61" t="s">
        <v>466</v>
      </c>
      <c r="C171" s="62">
        <f t="shared" si="5"/>
        <v>650000</v>
      </c>
      <c r="D171" s="62">
        <v>0</v>
      </c>
      <c r="E171" s="62">
        <v>0</v>
      </c>
      <c r="F171" s="62">
        <v>0</v>
      </c>
      <c r="G171" s="62">
        <v>0</v>
      </c>
      <c r="H171" s="62">
        <v>200000</v>
      </c>
      <c r="I171" s="62">
        <v>0</v>
      </c>
      <c r="J171" s="62">
        <v>0</v>
      </c>
      <c r="K171" s="62">
        <v>0</v>
      </c>
      <c r="L171" s="62">
        <v>200</v>
      </c>
      <c r="M171" s="62">
        <v>350000</v>
      </c>
      <c r="N171" s="62">
        <v>0</v>
      </c>
      <c r="O171" s="62">
        <v>0</v>
      </c>
      <c r="P171" s="62">
        <v>0</v>
      </c>
      <c r="Q171" s="62">
        <v>0</v>
      </c>
      <c r="R171" s="62">
        <v>0</v>
      </c>
      <c r="S171" s="62">
        <v>0</v>
      </c>
      <c r="T171" s="62">
        <v>0</v>
      </c>
      <c r="U171" s="62">
        <v>0</v>
      </c>
      <c r="V171" s="62">
        <v>0</v>
      </c>
      <c r="W171" s="62">
        <v>100000</v>
      </c>
    </row>
    <row r="172" spans="1:23" ht="24" customHeight="1">
      <c r="A172" s="60" t="s">
        <v>213</v>
      </c>
      <c r="B172" s="61" t="s">
        <v>467</v>
      </c>
      <c r="C172" s="62">
        <f t="shared" si="5"/>
        <v>350000</v>
      </c>
      <c r="D172" s="62">
        <v>0</v>
      </c>
      <c r="E172" s="62">
        <v>0</v>
      </c>
      <c r="F172" s="62">
        <v>0</v>
      </c>
      <c r="G172" s="62">
        <v>0</v>
      </c>
      <c r="H172" s="62">
        <v>250000</v>
      </c>
      <c r="I172" s="62">
        <v>0</v>
      </c>
      <c r="J172" s="62">
        <v>0</v>
      </c>
      <c r="K172" s="62">
        <v>0</v>
      </c>
      <c r="L172" s="62">
        <v>0</v>
      </c>
      <c r="M172" s="62">
        <v>0</v>
      </c>
      <c r="N172" s="62">
        <v>0</v>
      </c>
      <c r="O172" s="62">
        <v>0</v>
      </c>
      <c r="P172" s="62">
        <v>0</v>
      </c>
      <c r="Q172" s="62">
        <v>0</v>
      </c>
      <c r="R172" s="62">
        <v>0</v>
      </c>
      <c r="S172" s="62">
        <v>0</v>
      </c>
      <c r="T172" s="62">
        <v>0</v>
      </c>
      <c r="U172" s="62">
        <v>0</v>
      </c>
      <c r="V172" s="62">
        <v>0</v>
      </c>
      <c r="W172" s="62">
        <v>100000</v>
      </c>
    </row>
    <row r="173" spans="1:23" ht="24" customHeight="1">
      <c r="A173" s="60" t="s">
        <v>214</v>
      </c>
      <c r="B173" s="61" t="s">
        <v>345</v>
      </c>
      <c r="C173" s="62">
        <f t="shared" si="5"/>
        <v>1500000</v>
      </c>
      <c r="D173" s="62">
        <v>0</v>
      </c>
      <c r="E173" s="62">
        <v>0</v>
      </c>
      <c r="F173" s="62">
        <v>0</v>
      </c>
      <c r="G173" s="62">
        <v>0</v>
      </c>
      <c r="H173" s="62">
        <v>0</v>
      </c>
      <c r="I173" s="62">
        <v>0</v>
      </c>
      <c r="J173" s="62">
        <v>0</v>
      </c>
      <c r="K173" s="62">
        <v>0</v>
      </c>
      <c r="L173" s="62">
        <v>800</v>
      </c>
      <c r="M173" s="62">
        <v>1400000</v>
      </c>
      <c r="N173" s="62">
        <v>0</v>
      </c>
      <c r="O173" s="62">
        <v>0</v>
      </c>
      <c r="P173" s="62">
        <v>0</v>
      </c>
      <c r="Q173" s="62">
        <v>0</v>
      </c>
      <c r="R173" s="62">
        <v>0</v>
      </c>
      <c r="S173" s="62">
        <v>0</v>
      </c>
      <c r="T173" s="62">
        <v>0</v>
      </c>
      <c r="U173" s="62">
        <v>0</v>
      </c>
      <c r="V173" s="62">
        <v>0</v>
      </c>
      <c r="W173" s="62">
        <v>100000</v>
      </c>
    </row>
    <row r="174" spans="1:23" ht="24" customHeight="1">
      <c r="A174" s="60" t="s">
        <v>215</v>
      </c>
      <c r="B174" s="61" t="s">
        <v>349</v>
      </c>
      <c r="C174" s="62">
        <f t="shared" si="5"/>
        <v>2300000</v>
      </c>
      <c r="D174" s="62">
        <v>0</v>
      </c>
      <c r="E174" s="62">
        <v>0</v>
      </c>
      <c r="F174" s="62">
        <v>0</v>
      </c>
      <c r="G174" s="62">
        <v>400000</v>
      </c>
      <c r="H174" s="62">
        <v>400000</v>
      </c>
      <c r="I174" s="62">
        <v>0</v>
      </c>
      <c r="J174" s="62">
        <v>0</v>
      </c>
      <c r="K174" s="62">
        <v>0</v>
      </c>
      <c r="L174" s="62">
        <v>800</v>
      </c>
      <c r="M174" s="62">
        <v>1400000</v>
      </c>
      <c r="N174" s="62">
        <v>0</v>
      </c>
      <c r="O174" s="62">
        <v>0</v>
      </c>
      <c r="P174" s="62">
        <v>0</v>
      </c>
      <c r="Q174" s="62">
        <v>0</v>
      </c>
      <c r="R174" s="62">
        <v>0</v>
      </c>
      <c r="S174" s="62">
        <v>0</v>
      </c>
      <c r="T174" s="62">
        <v>0</v>
      </c>
      <c r="U174" s="62">
        <v>0</v>
      </c>
      <c r="V174" s="62">
        <v>0</v>
      </c>
      <c r="W174" s="62">
        <v>100000</v>
      </c>
    </row>
    <row r="175" spans="1:23" ht="24" customHeight="1">
      <c r="A175" s="60" t="s">
        <v>216</v>
      </c>
      <c r="B175" s="61" t="s">
        <v>348</v>
      </c>
      <c r="C175" s="62">
        <f t="shared" si="5"/>
        <v>1500000</v>
      </c>
      <c r="D175" s="62">
        <v>0</v>
      </c>
      <c r="E175" s="62">
        <v>0</v>
      </c>
      <c r="F175" s="62">
        <v>0</v>
      </c>
      <c r="G175" s="62">
        <v>0</v>
      </c>
      <c r="H175" s="62">
        <v>0</v>
      </c>
      <c r="I175" s="62">
        <v>0</v>
      </c>
      <c r="J175" s="62">
        <v>0</v>
      </c>
      <c r="K175" s="62">
        <v>0</v>
      </c>
      <c r="L175" s="62">
        <v>800</v>
      </c>
      <c r="M175" s="62">
        <v>1400000</v>
      </c>
      <c r="N175" s="62">
        <v>0</v>
      </c>
      <c r="O175" s="62">
        <v>0</v>
      </c>
      <c r="P175" s="62">
        <v>0</v>
      </c>
      <c r="Q175" s="62">
        <v>0</v>
      </c>
      <c r="R175" s="62">
        <v>0</v>
      </c>
      <c r="S175" s="62">
        <v>0</v>
      </c>
      <c r="T175" s="62">
        <v>0</v>
      </c>
      <c r="U175" s="62">
        <v>0</v>
      </c>
      <c r="V175" s="62">
        <v>0</v>
      </c>
      <c r="W175" s="62">
        <v>100000</v>
      </c>
    </row>
    <row r="176" spans="1:23" ht="24" customHeight="1">
      <c r="A176" s="60" t="s">
        <v>217</v>
      </c>
      <c r="B176" s="61" t="s">
        <v>347</v>
      </c>
      <c r="C176" s="62">
        <f t="shared" si="5"/>
        <v>1500000</v>
      </c>
      <c r="D176" s="62">
        <v>0</v>
      </c>
      <c r="E176" s="62">
        <v>0</v>
      </c>
      <c r="F176" s="62">
        <v>0</v>
      </c>
      <c r="G176" s="62">
        <v>0</v>
      </c>
      <c r="H176" s="62">
        <v>0</v>
      </c>
      <c r="I176" s="62">
        <v>0</v>
      </c>
      <c r="J176" s="62">
        <v>0</v>
      </c>
      <c r="K176" s="62">
        <v>0</v>
      </c>
      <c r="L176" s="62">
        <v>864</v>
      </c>
      <c r="M176" s="62">
        <v>1400000</v>
      </c>
      <c r="N176" s="62">
        <v>0</v>
      </c>
      <c r="O176" s="62">
        <v>0</v>
      </c>
      <c r="P176" s="62">
        <v>0</v>
      </c>
      <c r="Q176" s="62">
        <v>0</v>
      </c>
      <c r="R176" s="62">
        <v>0</v>
      </c>
      <c r="S176" s="62">
        <v>0</v>
      </c>
      <c r="T176" s="62">
        <v>0</v>
      </c>
      <c r="U176" s="62">
        <v>0</v>
      </c>
      <c r="V176" s="62">
        <v>0</v>
      </c>
      <c r="W176" s="62">
        <v>100000</v>
      </c>
    </row>
    <row r="177" spans="1:23" ht="24" customHeight="1">
      <c r="A177" s="60" t="s">
        <v>218</v>
      </c>
      <c r="B177" s="61" t="s">
        <v>346</v>
      </c>
      <c r="C177" s="62">
        <f t="shared" si="5"/>
        <v>900000</v>
      </c>
      <c r="D177" s="62">
        <v>800000</v>
      </c>
      <c r="E177" s="62">
        <v>0</v>
      </c>
      <c r="F177" s="62">
        <v>0</v>
      </c>
      <c r="G177" s="62">
        <v>0</v>
      </c>
      <c r="H177" s="62">
        <v>0</v>
      </c>
      <c r="I177" s="62">
        <v>0</v>
      </c>
      <c r="J177" s="62">
        <v>0</v>
      </c>
      <c r="K177" s="62">
        <v>0</v>
      </c>
      <c r="L177" s="62">
        <v>0</v>
      </c>
      <c r="M177" s="62">
        <v>0</v>
      </c>
      <c r="N177" s="62">
        <v>0</v>
      </c>
      <c r="O177" s="62">
        <v>0</v>
      </c>
      <c r="P177" s="62">
        <v>0</v>
      </c>
      <c r="Q177" s="62">
        <v>0</v>
      </c>
      <c r="R177" s="62">
        <v>0</v>
      </c>
      <c r="S177" s="62">
        <v>0</v>
      </c>
      <c r="T177" s="62">
        <v>0</v>
      </c>
      <c r="U177" s="62">
        <v>0</v>
      </c>
      <c r="V177" s="62">
        <v>0</v>
      </c>
      <c r="W177" s="62">
        <v>100000</v>
      </c>
    </row>
    <row r="178" spans="1:23" ht="24" customHeight="1">
      <c r="A178" s="60" t="s">
        <v>219</v>
      </c>
      <c r="B178" s="61" t="s">
        <v>468</v>
      </c>
      <c r="C178" s="62">
        <f t="shared" si="5"/>
        <v>1863821</v>
      </c>
      <c r="D178" s="62">
        <v>0</v>
      </c>
      <c r="E178" s="62">
        <v>0</v>
      </c>
      <c r="F178" s="62">
        <v>0</v>
      </c>
      <c r="G178" s="62">
        <v>0</v>
      </c>
      <c r="H178" s="62">
        <v>0</v>
      </c>
      <c r="I178" s="62">
        <v>0</v>
      </c>
      <c r="J178" s="62">
        <v>0</v>
      </c>
      <c r="K178" s="62">
        <v>0</v>
      </c>
      <c r="L178" s="62">
        <v>900</v>
      </c>
      <c r="M178" s="62">
        <v>1863821</v>
      </c>
      <c r="N178" s="62">
        <v>0</v>
      </c>
      <c r="O178" s="62">
        <v>0</v>
      </c>
      <c r="P178" s="62">
        <v>0</v>
      </c>
      <c r="Q178" s="62">
        <v>0</v>
      </c>
      <c r="R178" s="62">
        <v>0</v>
      </c>
      <c r="S178" s="62">
        <v>0</v>
      </c>
      <c r="T178" s="62">
        <v>0</v>
      </c>
      <c r="U178" s="62">
        <v>0</v>
      </c>
      <c r="V178" s="62">
        <v>0</v>
      </c>
      <c r="W178" s="62">
        <v>0</v>
      </c>
    </row>
    <row r="179" spans="1:23" ht="24" customHeight="1">
      <c r="A179" s="60" t="s">
        <v>220</v>
      </c>
      <c r="B179" s="61" t="s">
        <v>469</v>
      </c>
      <c r="C179" s="62">
        <f t="shared" si="5"/>
        <v>700000</v>
      </c>
      <c r="D179" s="62">
        <v>0</v>
      </c>
      <c r="E179" s="62">
        <v>0</v>
      </c>
      <c r="F179" s="62">
        <v>0</v>
      </c>
      <c r="G179" s="62">
        <v>350000</v>
      </c>
      <c r="H179" s="62">
        <v>350000</v>
      </c>
      <c r="I179" s="62">
        <v>0</v>
      </c>
      <c r="J179" s="62">
        <v>0</v>
      </c>
      <c r="K179" s="62"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0</v>
      </c>
      <c r="Q179" s="62">
        <v>0</v>
      </c>
      <c r="R179" s="62">
        <v>0</v>
      </c>
      <c r="S179" s="62">
        <v>0</v>
      </c>
      <c r="T179" s="62">
        <v>0</v>
      </c>
      <c r="U179" s="62">
        <v>0</v>
      </c>
      <c r="V179" s="62">
        <v>0</v>
      </c>
      <c r="W179" s="62">
        <v>0</v>
      </c>
    </row>
    <row r="180" spans="1:23" ht="24" customHeight="1">
      <c r="A180" s="60" t="s">
        <v>221</v>
      </c>
      <c r="B180" s="61" t="s">
        <v>470</v>
      </c>
      <c r="C180" s="62">
        <f t="shared" si="5"/>
        <v>1798796</v>
      </c>
      <c r="D180" s="62">
        <v>0</v>
      </c>
      <c r="E180" s="62">
        <v>0</v>
      </c>
      <c r="F180" s="62">
        <v>0</v>
      </c>
      <c r="G180" s="62">
        <v>0</v>
      </c>
      <c r="H180" s="62">
        <v>202403</v>
      </c>
      <c r="I180" s="62">
        <v>0</v>
      </c>
      <c r="J180" s="62">
        <v>0</v>
      </c>
      <c r="K180" s="62">
        <v>0</v>
      </c>
      <c r="L180" s="62">
        <v>620</v>
      </c>
      <c r="M180" s="62">
        <v>1496393</v>
      </c>
      <c r="N180" s="62">
        <v>0</v>
      </c>
      <c r="O180" s="62">
        <v>0</v>
      </c>
      <c r="P180" s="62">
        <v>0</v>
      </c>
      <c r="Q180" s="62">
        <v>0</v>
      </c>
      <c r="R180" s="62">
        <v>0</v>
      </c>
      <c r="S180" s="62">
        <v>0</v>
      </c>
      <c r="T180" s="62">
        <v>0</v>
      </c>
      <c r="U180" s="62">
        <v>0</v>
      </c>
      <c r="V180" s="62">
        <v>0</v>
      </c>
      <c r="W180" s="62">
        <v>100000</v>
      </c>
    </row>
    <row r="181" spans="1:23" ht="24" customHeight="1">
      <c r="A181" s="60" t="s">
        <v>222</v>
      </c>
      <c r="B181" s="61" t="s">
        <v>471</v>
      </c>
      <c r="C181" s="62">
        <f aca="true" t="shared" si="6" ref="C181:C211">D181+E181+F181+G181+H181+I181+K181+M181+O181+Q181+R181+T181+U181+V181+W181</f>
        <v>4438920</v>
      </c>
      <c r="D181" s="62">
        <v>0</v>
      </c>
      <c r="E181" s="62">
        <v>0</v>
      </c>
      <c r="F181" s="62">
        <v>0</v>
      </c>
      <c r="G181" s="62">
        <v>1029200</v>
      </c>
      <c r="H181" s="62">
        <v>982720</v>
      </c>
      <c r="I181" s="62">
        <v>0</v>
      </c>
      <c r="J181" s="62">
        <v>0</v>
      </c>
      <c r="K181" s="62">
        <v>0</v>
      </c>
      <c r="L181" s="62">
        <v>1790</v>
      </c>
      <c r="M181" s="62">
        <v>2327000</v>
      </c>
      <c r="N181" s="62">
        <v>0</v>
      </c>
      <c r="O181" s="62">
        <v>0</v>
      </c>
      <c r="P181" s="62">
        <v>0</v>
      </c>
      <c r="Q181" s="62">
        <v>0</v>
      </c>
      <c r="R181" s="62">
        <v>0</v>
      </c>
      <c r="S181" s="62">
        <v>0</v>
      </c>
      <c r="T181" s="62">
        <v>0</v>
      </c>
      <c r="U181" s="62">
        <v>0</v>
      </c>
      <c r="V181" s="62">
        <v>0</v>
      </c>
      <c r="W181" s="62">
        <v>100000</v>
      </c>
    </row>
    <row r="182" spans="1:23" ht="24" customHeight="1">
      <c r="A182" s="60" t="s">
        <v>223</v>
      </c>
      <c r="B182" s="61" t="s">
        <v>472</v>
      </c>
      <c r="C182" s="62">
        <f t="shared" si="6"/>
        <v>1772560</v>
      </c>
      <c r="D182" s="62">
        <v>0</v>
      </c>
      <c r="E182" s="62">
        <v>0</v>
      </c>
      <c r="F182" s="62">
        <v>0</v>
      </c>
      <c r="G182" s="62">
        <v>0</v>
      </c>
      <c r="H182" s="62">
        <v>476560</v>
      </c>
      <c r="I182" s="62">
        <v>0</v>
      </c>
      <c r="J182" s="62">
        <v>0</v>
      </c>
      <c r="K182" s="62">
        <v>0</v>
      </c>
      <c r="L182" s="62">
        <v>920</v>
      </c>
      <c r="M182" s="62">
        <v>1196000</v>
      </c>
      <c r="N182" s="62">
        <v>0</v>
      </c>
      <c r="O182" s="62">
        <v>0</v>
      </c>
      <c r="P182" s="62">
        <v>0</v>
      </c>
      <c r="Q182" s="62">
        <v>0</v>
      </c>
      <c r="R182" s="62">
        <v>0</v>
      </c>
      <c r="S182" s="62">
        <v>0</v>
      </c>
      <c r="T182" s="62">
        <v>0</v>
      </c>
      <c r="U182" s="62">
        <v>0</v>
      </c>
      <c r="V182" s="62">
        <v>0</v>
      </c>
      <c r="W182" s="62">
        <v>100000</v>
      </c>
    </row>
    <row r="183" spans="1:23" ht="24" customHeight="1">
      <c r="A183" s="60" t="s">
        <v>224</v>
      </c>
      <c r="B183" s="61" t="s">
        <v>473</v>
      </c>
      <c r="C183" s="62">
        <f t="shared" si="6"/>
        <v>700000</v>
      </c>
      <c r="D183" s="62">
        <v>0</v>
      </c>
      <c r="E183" s="62">
        <v>0</v>
      </c>
      <c r="F183" s="62">
        <v>0</v>
      </c>
      <c r="G183" s="62">
        <v>0</v>
      </c>
      <c r="H183" s="62">
        <v>200000</v>
      </c>
      <c r="I183" s="62">
        <v>0</v>
      </c>
      <c r="J183" s="62">
        <v>0</v>
      </c>
      <c r="K183" s="62">
        <v>0</v>
      </c>
      <c r="L183" s="62">
        <v>250</v>
      </c>
      <c r="M183" s="62">
        <v>400000</v>
      </c>
      <c r="N183" s="62">
        <v>0</v>
      </c>
      <c r="O183" s="62">
        <v>0</v>
      </c>
      <c r="P183" s="62">
        <v>0</v>
      </c>
      <c r="Q183" s="62">
        <v>0</v>
      </c>
      <c r="R183" s="62">
        <v>0</v>
      </c>
      <c r="S183" s="62">
        <v>0</v>
      </c>
      <c r="T183" s="62">
        <v>0</v>
      </c>
      <c r="U183" s="62">
        <v>0</v>
      </c>
      <c r="V183" s="62">
        <v>0</v>
      </c>
      <c r="W183" s="62">
        <v>100000</v>
      </c>
    </row>
    <row r="184" spans="1:23" ht="24" customHeight="1">
      <c r="A184" s="60" t="s">
        <v>225</v>
      </c>
      <c r="B184" s="61" t="s">
        <v>474</v>
      </c>
      <c r="C184" s="62">
        <f t="shared" si="6"/>
        <v>1567096</v>
      </c>
      <c r="D184" s="62">
        <v>0</v>
      </c>
      <c r="E184" s="62">
        <v>0</v>
      </c>
      <c r="F184" s="62">
        <v>0</v>
      </c>
      <c r="G184" s="62">
        <v>0</v>
      </c>
      <c r="H184" s="62">
        <v>0</v>
      </c>
      <c r="I184" s="62">
        <v>0</v>
      </c>
      <c r="J184" s="62">
        <v>0</v>
      </c>
      <c r="K184" s="62">
        <v>0</v>
      </c>
      <c r="L184" s="62">
        <v>700</v>
      </c>
      <c r="M184" s="62">
        <v>1467096</v>
      </c>
      <c r="N184" s="62">
        <v>0</v>
      </c>
      <c r="O184" s="62">
        <v>0</v>
      </c>
      <c r="P184" s="62">
        <v>0</v>
      </c>
      <c r="Q184" s="62">
        <v>0</v>
      </c>
      <c r="R184" s="62">
        <v>0</v>
      </c>
      <c r="S184" s="62">
        <v>0</v>
      </c>
      <c r="T184" s="62">
        <v>0</v>
      </c>
      <c r="U184" s="62">
        <v>0</v>
      </c>
      <c r="V184" s="62">
        <v>0</v>
      </c>
      <c r="W184" s="62">
        <v>100000</v>
      </c>
    </row>
    <row r="185" spans="1:23" ht="24" customHeight="1">
      <c r="A185" s="60" t="s">
        <v>226</v>
      </c>
      <c r="B185" s="61" t="s">
        <v>475</v>
      </c>
      <c r="C185" s="62">
        <f t="shared" si="6"/>
        <v>1107858</v>
      </c>
      <c r="D185" s="62">
        <v>0</v>
      </c>
      <c r="E185" s="62">
        <v>0</v>
      </c>
      <c r="F185" s="62">
        <v>0</v>
      </c>
      <c r="G185" s="62">
        <v>0</v>
      </c>
      <c r="H185" s="62">
        <v>209730</v>
      </c>
      <c r="I185" s="62">
        <v>0</v>
      </c>
      <c r="J185" s="62">
        <v>0</v>
      </c>
      <c r="K185" s="62">
        <v>0</v>
      </c>
      <c r="L185" s="62">
        <v>350</v>
      </c>
      <c r="M185" s="62">
        <v>798128</v>
      </c>
      <c r="N185" s="62">
        <v>0</v>
      </c>
      <c r="O185" s="62">
        <v>0</v>
      </c>
      <c r="P185" s="62">
        <v>0</v>
      </c>
      <c r="Q185" s="62">
        <v>0</v>
      </c>
      <c r="R185" s="62">
        <v>0</v>
      </c>
      <c r="S185" s="62">
        <v>0</v>
      </c>
      <c r="T185" s="62">
        <v>0</v>
      </c>
      <c r="U185" s="62">
        <v>0</v>
      </c>
      <c r="V185" s="62">
        <v>0</v>
      </c>
      <c r="W185" s="62">
        <v>100000</v>
      </c>
    </row>
    <row r="186" spans="1:23" ht="24" customHeight="1">
      <c r="A186" s="60" t="s">
        <v>227</v>
      </c>
      <c r="B186" s="61" t="s">
        <v>476</v>
      </c>
      <c r="C186" s="62">
        <f t="shared" si="6"/>
        <v>1853500</v>
      </c>
      <c r="D186" s="62">
        <v>0</v>
      </c>
      <c r="E186" s="62">
        <v>0</v>
      </c>
      <c r="F186" s="62">
        <v>0</v>
      </c>
      <c r="G186" s="62">
        <v>0</v>
      </c>
      <c r="H186" s="62">
        <v>286404</v>
      </c>
      <c r="I186" s="62">
        <v>0</v>
      </c>
      <c r="J186" s="62">
        <v>0</v>
      </c>
      <c r="K186" s="62">
        <v>0</v>
      </c>
      <c r="L186" s="62">
        <v>700</v>
      </c>
      <c r="M186" s="62">
        <v>1467096</v>
      </c>
      <c r="N186" s="62">
        <v>0</v>
      </c>
      <c r="O186" s="62">
        <v>0</v>
      </c>
      <c r="P186" s="62">
        <v>0</v>
      </c>
      <c r="Q186" s="62">
        <v>0</v>
      </c>
      <c r="R186" s="62">
        <v>0</v>
      </c>
      <c r="S186" s="62">
        <v>0</v>
      </c>
      <c r="T186" s="62">
        <v>0</v>
      </c>
      <c r="U186" s="62">
        <v>0</v>
      </c>
      <c r="V186" s="62">
        <v>0</v>
      </c>
      <c r="W186" s="62">
        <v>100000</v>
      </c>
    </row>
    <row r="187" spans="1:23" ht="24" customHeight="1">
      <c r="A187" s="60" t="s">
        <v>228</v>
      </c>
      <c r="B187" s="61" t="s">
        <v>477</v>
      </c>
      <c r="C187" s="62">
        <f t="shared" si="6"/>
        <v>4110200</v>
      </c>
      <c r="D187" s="62">
        <v>0</v>
      </c>
      <c r="E187" s="62">
        <v>0</v>
      </c>
      <c r="F187" s="62">
        <v>0</v>
      </c>
      <c r="G187" s="62">
        <v>0</v>
      </c>
      <c r="H187" s="62">
        <v>0</v>
      </c>
      <c r="I187" s="62">
        <v>0</v>
      </c>
      <c r="J187" s="62">
        <v>0</v>
      </c>
      <c r="K187" s="62">
        <v>0</v>
      </c>
      <c r="L187" s="62">
        <v>1592</v>
      </c>
      <c r="M187" s="62">
        <f>L187*1850</f>
        <v>2945200</v>
      </c>
      <c r="N187" s="62">
        <v>0</v>
      </c>
      <c r="O187" s="62">
        <v>0</v>
      </c>
      <c r="P187" s="62">
        <v>1115</v>
      </c>
      <c r="Q187" s="62">
        <f>P187*1000</f>
        <v>1115000</v>
      </c>
      <c r="R187" s="62">
        <v>0</v>
      </c>
      <c r="S187" s="62">
        <v>0</v>
      </c>
      <c r="T187" s="62">
        <v>0</v>
      </c>
      <c r="U187" s="62">
        <v>0</v>
      </c>
      <c r="V187" s="62">
        <v>0</v>
      </c>
      <c r="W187" s="62">
        <v>50000</v>
      </c>
    </row>
    <row r="188" spans="1:23" ht="24" customHeight="1">
      <c r="A188" s="60" t="s">
        <v>229</v>
      </c>
      <c r="B188" s="61" t="s">
        <v>478</v>
      </c>
      <c r="C188" s="62">
        <f t="shared" si="6"/>
        <v>3114450</v>
      </c>
      <c r="D188" s="62">
        <v>0</v>
      </c>
      <c r="E188" s="62">
        <v>0</v>
      </c>
      <c r="F188" s="62">
        <v>0</v>
      </c>
      <c r="G188" s="62">
        <v>0</v>
      </c>
      <c r="H188" s="62">
        <v>0</v>
      </c>
      <c r="I188" s="62">
        <v>0</v>
      </c>
      <c r="J188" s="62">
        <v>0</v>
      </c>
      <c r="K188" s="62">
        <v>0</v>
      </c>
      <c r="L188" s="62">
        <v>1037</v>
      </c>
      <c r="M188" s="62">
        <f>L188*1850</f>
        <v>1918450</v>
      </c>
      <c r="N188" s="62">
        <v>0</v>
      </c>
      <c r="O188" s="62">
        <v>0</v>
      </c>
      <c r="P188" s="62">
        <v>1146</v>
      </c>
      <c r="Q188" s="62">
        <f>P188*1000</f>
        <v>1146000</v>
      </c>
      <c r="R188" s="62">
        <v>0</v>
      </c>
      <c r="S188" s="62">
        <v>0</v>
      </c>
      <c r="T188" s="62">
        <v>0</v>
      </c>
      <c r="U188" s="62">
        <v>0</v>
      </c>
      <c r="V188" s="62">
        <v>0</v>
      </c>
      <c r="W188" s="62">
        <v>50000</v>
      </c>
    </row>
    <row r="189" spans="1:23" ht="24" customHeight="1">
      <c r="A189" s="60" t="s">
        <v>230</v>
      </c>
      <c r="B189" s="61" t="s">
        <v>479</v>
      </c>
      <c r="C189" s="62">
        <f t="shared" si="6"/>
        <v>2217950</v>
      </c>
      <c r="D189" s="62">
        <v>0</v>
      </c>
      <c r="E189" s="62">
        <v>0</v>
      </c>
      <c r="F189" s="62">
        <v>0</v>
      </c>
      <c r="G189" s="62">
        <v>0</v>
      </c>
      <c r="H189" s="62">
        <v>0</v>
      </c>
      <c r="I189" s="62">
        <v>0</v>
      </c>
      <c r="J189" s="62">
        <v>0</v>
      </c>
      <c r="K189" s="62">
        <v>0</v>
      </c>
      <c r="L189" s="62">
        <v>947</v>
      </c>
      <c r="M189" s="62">
        <v>1751950</v>
      </c>
      <c r="N189" s="62">
        <v>0</v>
      </c>
      <c r="O189" s="62">
        <v>0</v>
      </c>
      <c r="P189" s="62">
        <v>366</v>
      </c>
      <c r="Q189" s="62">
        <v>366000</v>
      </c>
      <c r="R189" s="62">
        <v>0</v>
      </c>
      <c r="S189" s="62">
        <v>0</v>
      </c>
      <c r="T189" s="62">
        <v>0</v>
      </c>
      <c r="U189" s="62">
        <v>0</v>
      </c>
      <c r="V189" s="62">
        <v>0</v>
      </c>
      <c r="W189" s="62">
        <v>100000</v>
      </c>
    </row>
    <row r="190" spans="1:23" ht="24" customHeight="1">
      <c r="A190" s="60" t="s">
        <v>231</v>
      </c>
      <c r="B190" s="61" t="s">
        <v>480</v>
      </c>
      <c r="C190" s="62">
        <f t="shared" si="6"/>
        <v>3436400</v>
      </c>
      <c r="D190" s="62">
        <v>0</v>
      </c>
      <c r="E190" s="62">
        <v>0</v>
      </c>
      <c r="F190" s="62">
        <v>0</v>
      </c>
      <c r="G190" s="62">
        <v>0</v>
      </c>
      <c r="H190" s="62">
        <v>0</v>
      </c>
      <c r="I190" s="62">
        <v>0</v>
      </c>
      <c r="J190" s="62">
        <v>0</v>
      </c>
      <c r="K190" s="62">
        <v>0</v>
      </c>
      <c r="L190" s="62">
        <v>924</v>
      </c>
      <c r="M190" s="62">
        <f>L190*1850</f>
        <v>1709400</v>
      </c>
      <c r="N190" s="62">
        <v>0</v>
      </c>
      <c r="O190" s="62">
        <v>0</v>
      </c>
      <c r="P190" s="62">
        <v>1677</v>
      </c>
      <c r="Q190" s="62">
        <f>P190*1000</f>
        <v>1677000</v>
      </c>
      <c r="R190" s="62">
        <v>0</v>
      </c>
      <c r="S190" s="62">
        <v>0</v>
      </c>
      <c r="T190" s="62">
        <v>0</v>
      </c>
      <c r="U190" s="62">
        <v>0</v>
      </c>
      <c r="V190" s="62">
        <v>0</v>
      </c>
      <c r="W190" s="62">
        <v>50000</v>
      </c>
    </row>
    <row r="191" spans="1:23" ht="24" customHeight="1">
      <c r="A191" s="60" t="s">
        <v>232</v>
      </c>
      <c r="B191" s="61" t="s">
        <v>481</v>
      </c>
      <c r="C191" s="62">
        <f t="shared" si="6"/>
        <v>1908700</v>
      </c>
      <c r="D191" s="62">
        <v>0</v>
      </c>
      <c r="E191" s="62">
        <v>0</v>
      </c>
      <c r="F191" s="62">
        <v>0</v>
      </c>
      <c r="G191" s="62">
        <v>0</v>
      </c>
      <c r="H191" s="62">
        <v>0</v>
      </c>
      <c r="I191" s="62">
        <v>0</v>
      </c>
      <c r="J191" s="62">
        <v>0</v>
      </c>
      <c r="K191" s="62">
        <v>0</v>
      </c>
      <c r="L191" s="62">
        <v>702</v>
      </c>
      <c r="M191" s="62">
        <f>L191*1850</f>
        <v>1298700</v>
      </c>
      <c r="N191" s="62">
        <v>0</v>
      </c>
      <c r="O191" s="62">
        <v>0</v>
      </c>
      <c r="P191" s="62">
        <v>560</v>
      </c>
      <c r="Q191" s="62">
        <f>P191*1000</f>
        <v>560000</v>
      </c>
      <c r="R191" s="62">
        <v>0</v>
      </c>
      <c r="S191" s="62">
        <v>0</v>
      </c>
      <c r="T191" s="62">
        <v>0</v>
      </c>
      <c r="U191" s="62">
        <v>0</v>
      </c>
      <c r="V191" s="62">
        <v>0</v>
      </c>
      <c r="W191" s="62">
        <v>50000</v>
      </c>
    </row>
    <row r="192" spans="1:23" ht="24" customHeight="1">
      <c r="A192" s="60" t="s">
        <v>233</v>
      </c>
      <c r="B192" s="61" t="s">
        <v>482</v>
      </c>
      <c r="C192" s="62">
        <f t="shared" si="6"/>
        <v>2230600</v>
      </c>
      <c r="D192" s="62">
        <v>0</v>
      </c>
      <c r="E192" s="62">
        <v>0</v>
      </c>
      <c r="F192" s="62">
        <v>0</v>
      </c>
      <c r="G192" s="62">
        <v>0</v>
      </c>
      <c r="H192" s="62">
        <v>0</v>
      </c>
      <c r="I192" s="62">
        <v>0</v>
      </c>
      <c r="J192" s="62">
        <v>0</v>
      </c>
      <c r="K192" s="62">
        <v>0</v>
      </c>
      <c r="L192" s="62">
        <v>676</v>
      </c>
      <c r="M192" s="62">
        <v>1250600</v>
      </c>
      <c r="N192" s="62">
        <v>0</v>
      </c>
      <c r="O192" s="62">
        <v>0</v>
      </c>
      <c r="P192" s="62">
        <v>880</v>
      </c>
      <c r="Q192" s="62">
        <v>880000</v>
      </c>
      <c r="R192" s="62">
        <v>0</v>
      </c>
      <c r="S192" s="62">
        <v>0</v>
      </c>
      <c r="T192" s="62">
        <v>0</v>
      </c>
      <c r="U192" s="62">
        <v>0</v>
      </c>
      <c r="V192" s="62">
        <v>0</v>
      </c>
      <c r="W192" s="62">
        <v>100000</v>
      </c>
    </row>
    <row r="193" spans="1:23" ht="24" customHeight="1">
      <c r="A193" s="60" t="s">
        <v>234</v>
      </c>
      <c r="B193" s="61" t="s">
        <v>483</v>
      </c>
      <c r="C193" s="62">
        <f t="shared" si="6"/>
        <v>3681050</v>
      </c>
      <c r="D193" s="62">
        <v>0</v>
      </c>
      <c r="E193" s="62">
        <v>0</v>
      </c>
      <c r="F193" s="62">
        <v>0</v>
      </c>
      <c r="G193" s="62">
        <v>0</v>
      </c>
      <c r="H193" s="62">
        <v>0</v>
      </c>
      <c r="I193" s="62">
        <v>0</v>
      </c>
      <c r="J193" s="62">
        <v>0</v>
      </c>
      <c r="K193" s="62">
        <v>0</v>
      </c>
      <c r="L193" s="62">
        <v>1653</v>
      </c>
      <c r="M193" s="62">
        <f>L193*1850</f>
        <v>3058050</v>
      </c>
      <c r="N193" s="62">
        <v>0</v>
      </c>
      <c r="O193" s="62">
        <v>0</v>
      </c>
      <c r="P193" s="62">
        <v>573</v>
      </c>
      <c r="Q193" s="62">
        <f>P193*1000</f>
        <v>573000</v>
      </c>
      <c r="R193" s="62">
        <v>0</v>
      </c>
      <c r="S193" s="62">
        <v>0</v>
      </c>
      <c r="T193" s="62">
        <v>0</v>
      </c>
      <c r="U193" s="62">
        <v>0</v>
      </c>
      <c r="V193" s="62">
        <v>0</v>
      </c>
      <c r="W193" s="62">
        <v>50000</v>
      </c>
    </row>
    <row r="194" spans="1:23" ht="24" customHeight="1">
      <c r="A194" s="60" t="s">
        <v>305</v>
      </c>
      <c r="B194" s="61" t="s">
        <v>484</v>
      </c>
      <c r="C194" s="62">
        <f t="shared" si="6"/>
        <v>1805300</v>
      </c>
      <c r="D194" s="62">
        <v>0</v>
      </c>
      <c r="E194" s="62">
        <v>0</v>
      </c>
      <c r="F194" s="62">
        <v>0</v>
      </c>
      <c r="G194" s="62">
        <v>0</v>
      </c>
      <c r="H194" s="62">
        <v>0</v>
      </c>
      <c r="I194" s="62">
        <v>0</v>
      </c>
      <c r="J194" s="62">
        <v>0</v>
      </c>
      <c r="K194" s="62">
        <v>0</v>
      </c>
      <c r="L194" s="62">
        <v>638</v>
      </c>
      <c r="M194" s="62">
        <v>1180300</v>
      </c>
      <c r="N194" s="62">
        <v>0</v>
      </c>
      <c r="O194" s="62">
        <v>0</v>
      </c>
      <c r="P194" s="62">
        <v>525</v>
      </c>
      <c r="Q194" s="62">
        <v>525000</v>
      </c>
      <c r="R194" s="62">
        <v>0</v>
      </c>
      <c r="S194" s="62">
        <v>0</v>
      </c>
      <c r="T194" s="62">
        <v>0</v>
      </c>
      <c r="U194" s="62">
        <v>0</v>
      </c>
      <c r="V194" s="62">
        <v>0</v>
      </c>
      <c r="W194" s="62">
        <v>100000</v>
      </c>
    </row>
    <row r="195" spans="1:23" ht="24" customHeight="1">
      <c r="A195" s="60" t="s">
        <v>235</v>
      </c>
      <c r="B195" s="61" t="s">
        <v>485</v>
      </c>
      <c r="C195" s="62">
        <f t="shared" si="6"/>
        <v>1905000</v>
      </c>
      <c r="D195" s="62">
        <v>0</v>
      </c>
      <c r="E195" s="62">
        <v>0</v>
      </c>
      <c r="F195" s="62">
        <v>0</v>
      </c>
      <c r="G195" s="62">
        <v>0</v>
      </c>
      <c r="H195" s="62">
        <v>0</v>
      </c>
      <c r="I195" s="62">
        <v>0</v>
      </c>
      <c r="J195" s="62">
        <v>0</v>
      </c>
      <c r="K195" s="62">
        <v>0</v>
      </c>
      <c r="L195" s="62">
        <v>700</v>
      </c>
      <c r="M195" s="62">
        <f>L195*1850</f>
        <v>1295000</v>
      </c>
      <c r="N195" s="62">
        <v>0</v>
      </c>
      <c r="O195" s="62">
        <v>0</v>
      </c>
      <c r="P195" s="62">
        <v>560</v>
      </c>
      <c r="Q195" s="62">
        <f>P195*1000</f>
        <v>560000</v>
      </c>
      <c r="R195" s="62">
        <v>0</v>
      </c>
      <c r="S195" s="62">
        <v>0</v>
      </c>
      <c r="T195" s="62">
        <v>0</v>
      </c>
      <c r="U195" s="62">
        <v>0</v>
      </c>
      <c r="V195" s="62">
        <v>0</v>
      </c>
      <c r="W195" s="62">
        <v>50000</v>
      </c>
    </row>
    <row r="196" spans="1:23" ht="24" customHeight="1">
      <c r="A196" s="60" t="s">
        <v>236</v>
      </c>
      <c r="B196" s="61" t="s">
        <v>486</v>
      </c>
      <c r="C196" s="62">
        <f t="shared" si="6"/>
        <v>3353200</v>
      </c>
      <c r="D196" s="62">
        <v>0</v>
      </c>
      <c r="E196" s="62">
        <v>0</v>
      </c>
      <c r="F196" s="62">
        <v>0</v>
      </c>
      <c r="G196" s="62">
        <v>0</v>
      </c>
      <c r="H196" s="62">
        <v>0</v>
      </c>
      <c r="I196" s="62">
        <v>0</v>
      </c>
      <c r="J196" s="62">
        <v>0</v>
      </c>
      <c r="K196" s="62">
        <v>0</v>
      </c>
      <c r="L196" s="62">
        <v>1452</v>
      </c>
      <c r="M196" s="62">
        <v>2686200</v>
      </c>
      <c r="N196" s="62">
        <v>0</v>
      </c>
      <c r="O196" s="62">
        <v>0</v>
      </c>
      <c r="P196" s="62">
        <v>567</v>
      </c>
      <c r="Q196" s="62">
        <v>567000</v>
      </c>
      <c r="R196" s="62">
        <v>0</v>
      </c>
      <c r="S196" s="62">
        <v>0</v>
      </c>
      <c r="T196" s="62">
        <v>0</v>
      </c>
      <c r="U196" s="62">
        <v>0</v>
      </c>
      <c r="V196" s="62">
        <v>0</v>
      </c>
      <c r="W196" s="62">
        <v>100000</v>
      </c>
    </row>
    <row r="197" spans="1:23" ht="24" customHeight="1">
      <c r="A197" s="60" t="s">
        <v>237</v>
      </c>
      <c r="B197" s="61" t="s">
        <v>487</v>
      </c>
      <c r="C197" s="62">
        <f t="shared" si="6"/>
        <v>1905000</v>
      </c>
      <c r="D197" s="62">
        <v>0</v>
      </c>
      <c r="E197" s="62">
        <v>0</v>
      </c>
      <c r="F197" s="62">
        <v>0</v>
      </c>
      <c r="G197" s="62">
        <v>0</v>
      </c>
      <c r="H197" s="62">
        <v>0</v>
      </c>
      <c r="I197" s="62">
        <v>0</v>
      </c>
      <c r="J197" s="62">
        <v>0</v>
      </c>
      <c r="K197" s="62">
        <v>0</v>
      </c>
      <c r="L197" s="62">
        <v>700</v>
      </c>
      <c r="M197" s="62">
        <f>L197*1850</f>
        <v>1295000</v>
      </c>
      <c r="N197" s="62">
        <v>0</v>
      </c>
      <c r="O197" s="62">
        <v>0</v>
      </c>
      <c r="P197" s="62">
        <v>560</v>
      </c>
      <c r="Q197" s="62">
        <f>P197*1000</f>
        <v>560000</v>
      </c>
      <c r="R197" s="62">
        <v>0</v>
      </c>
      <c r="S197" s="62">
        <v>0</v>
      </c>
      <c r="T197" s="62">
        <v>0</v>
      </c>
      <c r="U197" s="62">
        <v>0</v>
      </c>
      <c r="V197" s="62">
        <v>0</v>
      </c>
      <c r="W197" s="62">
        <v>50000</v>
      </c>
    </row>
    <row r="198" spans="1:23" ht="24" customHeight="1">
      <c r="A198" s="60" t="s">
        <v>238</v>
      </c>
      <c r="B198" s="61" t="s">
        <v>488</v>
      </c>
      <c r="C198" s="62">
        <f t="shared" si="6"/>
        <v>2450000</v>
      </c>
      <c r="D198" s="62">
        <v>0</v>
      </c>
      <c r="E198" s="62">
        <v>0</v>
      </c>
      <c r="F198" s="62">
        <v>0</v>
      </c>
      <c r="G198" s="62">
        <v>0</v>
      </c>
      <c r="H198" s="62">
        <v>0</v>
      </c>
      <c r="I198" s="62">
        <v>0</v>
      </c>
      <c r="J198" s="62">
        <v>0</v>
      </c>
      <c r="K198" s="62">
        <v>0</v>
      </c>
      <c r="L198" s="62">
        <v>1000</v>
      </c>
      <c r="M198" s="62">
        <v>1600000</v>
      </c>
      <c r="N198" s="62">
        <v>0</v>
      </c>
      <c r="O198" s="62">
        <v>0</v>
      </c>
      <c r="P198" s="62">
        <v>800</v>
      </c>
      <c r="Q198" s="62">
        <v>800000</v>
      </c>
      <c r="R198" s="62">
        <v>0</v>
      </c>
      <c r="S198" s="62">
        <v>0</v>
      </c>
      <c r="T198" s="62">
        <v>0</v>
      </c>
      <c r="U198" s="62">
        <v>0</v>
      </c>
      <c r="V198" s="62">
        <v>0</v>
      </c>
      <c r="W198" s="62">
        <v>50000</v>
      </c>
    </row>
    <row r="199" spans="1:23" ht="24" customHeight="1">
      <c r="A199" s="60" t="s">
        <v>239</v>
      </c>
      <c r="B199" s="61" t="s">
        <v>489</v>
      </c>
      <c r="C199" s="62">
        <f t="shared" si="6"/>
        <v>4810450</v>
      </c>
      <c r="D199" s="62">
        <v>0</v>
      </c>
      <c r="E199" s="62">
        <v>0</v>
      </c>
      <c r="F199" s="62">
        <v>0</v>
      </c>
      <c r="G199" s="62">
        <v>0</v>
      </c>
      <c r="H199" s="62">
        <v>0</v>
      </c>
      <c r="I199" s="62">
        <v>0</v>
      </c>
      <c r="J199" s="62">
        <v>0</v>
      </c>
      <c r="K199" s="62">
        <v>0</v>
      </c>
      <c r="L199" s="62">
        <v>1817</v>
      </c>
      <c r="M199" s="62">
        <v>3361450</v>
      </c>
      <c r="N199" s="62">
        <v>0</v>
      </c>
      <c r="O199" s="62">
        <v>0</v>
      </c>
      <c r="P199" s="62">
        <v>1349</v>
      </c>
      <c r="Q199" s="62">
        <v>1349000</v>
      </c>
      <c r="R199" s="62">
        <v>0</v>
      </c>
      <c r="S199" s="62">
        <v>0</v>
      </c>
      <c r="T199" s="62">
        <v>0</v>
      </c>
      <c r="U199" s="62">
        <v>0</v>
      </c>
      <c r="V199" s="62">
        <v>0</v>
      </c>
      <c r="W199" s="62">
        <v>100000</v>
      </c>
    </row>
    <row r="200" spans="1:23" ht="24" customHeight="1">
      <c r="A200" s="60" t="s">
        <v>240</v>
      </c>
      <c r="B200" s="61" t="s">
        <v>490</v>
      </c>
      <c r="C200" s="62">
        <f t="shared" si="6"/>
        <v>2477650</v>
      </c>
      <c r="D200" s="62">
        <v>0</v>
      </c>
      <c r="E200" s="62">
        <v>0</v>
      </c>
      <c r="F200" s="62">
        <v>0</v>
      </c>
      <c r="G200" s="62">
        <v>0</v>
      </c>
      <c r="H200" s="62">
        <v>0</v>
      </c>
      <c r="I200" s="62">
        <v>0</v>
      </c>
      <c r="J200" s="62">
        <v>0</v>
      </c>
      <c r="K200" s="62">
        <v>0</v>
      </c>
      <c r="L200" s="62">
        <v>929</v>
      </c>
      <c r="M200" s="62">
        <f>L200*1850</f>
        <v>1718650</v>
      </c>
      <c r="N200" s="62">
        <v>0</v>
      </c>
      <c r="O200" s="62">
        <v>0</v>
      </c>
      <c r="P200" s="62">
        <v>709</v>
      </c>
      <c r="Q200" s="62">
        <f>P200*1000</f>
        <v>709000</v>
      </c>
      <c r="R200" s="62">
        <v>0</v>
      </c>
      <c r="S200" s="62">
        <v>0</v>
      </c>
      <c r="T200" s="62">
        <v>0</v>
      </c>
      <c r="U200" s="62">
        <v>0</v>
      </c>
      <c r="V200" s="62">
        <v>0</v>
      </c>
      <c r="W200" s="62">
        <v>50000</v>
      </c>
    </row>
    <row r="201" spans="1:23" ht="24" customHeight="1">
      <c r="A201" s="60" t="s">
        <v>241</v>
      </c>
      <c r="B201" s="61" t="s">
        <v>491</v>
      </c>
      <c r="C201" s="62">
        <f t="shared" si="6"/>
        <v>4042750</v>
      </c>
      <c r="D201" s="62">
        <v>0</v>
      </c>
      <c r="E201" s="62">
        <v>0</v>
      </c>
      <c r="F201" s="62">
        <v>0</v>
      </c>
      <c r="G201" s="62">
        <v>0</v>
      </c>
      <c r="H201" s="62">
        <v>0</v>
      </c>
      <c r="I201" s="62">
        <v>0</v>
      </c>
      <c r="J201" s="62">
        <v>0</v>
      </c>
      <c r="K201" s="62">
        <v>0</v>
      </c>
      <c r="L201" s="62">
        <v>1215</v>
      </c>
      <c r="M201" s="62">
        <f>L201*1850</f>
        <v>2247750</v>
      </c>
      <c r="N201" s="62">
        <v>0</v>
      </c>
      <c r="O201" s="62">
        <v>0</v>
      </c>
      <c r="P201" s="62">
        <v>1745</v>
      </c>
      <c r="Q201" s="62">
        <f aca="true" t="shared" si="7" ref="Q201:Q206">P201*1000</f>
        <v>1745000</v>
      </c>
      <c r="R201" s="62">
        <v>0</v>
      </c>
      <c r="S201" s="62">
        <v>0</v>
      </c>
      <c r="T201" s="62">
        <v>0</v>
      </c>
      <c r="U201" s="62">
        <v>0</v>
      </c>
      <c r="V201" s="62">
        <v>0</v>
      </c>
      <c r="W201" s="62">
        <v>50000</v>
      </c>
    </row>
    <row r="202" spans="1:23" ht="24" customHeight="1">
      <c r="A202" s="60" t="s">
        <v>242</v>
      </c>
      <c r="B202" s="61" t="s">
        <v>492</v>
      </c>
      <c r="C202" s="62">
        <f t="shared" si="6"/>
        <v>3514900</v>
      </c>
      <c r="D202" s="62">
        <v>0</v>
      </c>
      <c r="E202" s="62">
        <v>0</v>
      </c>
      <c r="F202" s="62">
        <v>0</v>
      </c>
      <c r="G202" s="62">
        <v>0</v>
      </c>
      <c r="H202" s="62">
        <v>0</v>
      </c>
      <c r="I202" s="62">
        <v>0</v>
      </c>
      <c r="J202" s="62">
        <v>0</v>
      </c>
      <c r="K202" s="62">
        <v>0</v>
      </c>
      <c r="L202" s="62">
        <v>1294</v>
      </c>
      <c r="M202" s="62">
        <f>L202*1850</f>
        <v>2393900</v>
      </c>
      <c r="N202" s="62">
        <v>0</v>
      </c>
      <c r="O202" s="62">
        <v>0</v>
      </c>
      <c r="P202" s="62">
        <v>1071</v>
      </c>
      <c r="Q202" s="62">
        <f t="shared" si="7"/>
        <v>1071000</v>
      </c>
      <c r="R202" s="62">
        <v>0</v>
      </c>
      <c r="S202" s="62">
        <v>0</v>
      </c>
      <c r="T202" s="62">
        <v>0</v>
      </c>
      <c r="U202" s="62">
        <v>0</v>
      </c>
      <c r="V202" s="62">
        <v>0</v>
      </c>
      <c r="W202" s="62">
        <v>50000</v>
      </c>
    </row>
    <row r="203" spans="1:23" ht="24" customHeight="1">
      <c r="A203" s="60" t="s">
        <v>243</v>
      </c>
      <c r="B203" s="61" t="s">
        <v>493</v>
      </c>
      <c r="C203" s="62">
        <f t="shared" si="6"/>
        <v>1100000</v>
      </c>
      <c r="D203" s="62">
        <v>0</v>
      </c>
      <c r="E203" s="62">
        <v>0</v>
      </c>
      <c r="F203" s="62">
        <v>0</v>
      </c>
      <c r="G203" s="62">
        <v>0</v>
      </c>
      <c r="H203" s="62">
        <v>0</v>
      </c>
      <c r="I203" s="62">
        <v>0</v>
      </c>
      <c r="J203" s="62">
        <v>0</v>
      </c>
      <c r="K203" s="62">
        <v>0</v>
      </c>
      <c r="L203" s="62">
        <v>0</v>
      </c>
      <c r="M203" s="62">
        <v>0</v>
      </c>
      <c r="N203" s="62">
        <v>0</v>
      </c>
      <c r="O203" s="62">
        <v>0</v>
      </c>
      <c r="P203" s="62">
        <v>1000</v>
      </c>
      <c r="Q203" s="62">
        <f t="shared" si="7"/>
        <v>1000000</v>
      </c>
      <c r="R203" s="62">
        <v>0</v>
      </c>
      <c r="S203" s="62">
        <v>0</v>
      </c>
      <c r="T203" s="62">
        <v>0</v>
      </c>
      <c r="U203" s="62">
        <v>0</v>
      </c>
      <c r="V203" s="62">
        <v>0</v>
      </c>
      <c r="W203" s="62">
        <v>100000</v>
      </c>
    </row>
    <row r="204" spans="1:23" ht="24" customHeight="1">
      <c r="A204" s="60" t="s">
        <v>306</v>
      </c>
      <c r="B204" s="61" t="s">
        <v>494</v>
      </c>
      <c r="C204" s="62">
        <f t="shared" si="6"/>
        <v>1277300</v>
      </c>
      <c r="D204" s="62">
        <v>0</v>
      </c>
      <c r="E204" s="62">
        <v>0</v>
      </c>
      <c r="F204" s="62">
        <v>0</v>
      </c>
      <c r="G204" s="62">
        <v>0</v>
      </c>
      <c r="H204" s="62">
        <v>0</v>
      </c>
      <c r="I204" s="62">
        <v>0</v>
      </c>
      <c r="J204" s="62">
        <v>0</v>
      </c>
      <c r="K204" s="62">
        <v>0</v>
      </c>
      <c r="L204" s="62">
        <v>438</v>
      </c>
      <c r="M204" s="62">
        <f>L204*1850</f>
        <v>810300</v>
      </c>
      <c r="N204" s="62">
        <v>0</v>
      </c>
      <c r="O204" s="62">
        <v>0</v>
      </c>
      <c r="P204" s="62">
        <v>417</v>
      </c>
      <c r="Q204" s="62">
        <f t="shared" si="7"/>
        <v>417000</v>
      </c>
      <c r="R204" s="62">
        <v>0</v>
      </c>
      <c r="S204" s="62">
        <v>0</v>
      </c>
      <c r="T204" s="62">
        <v>0</v>
      </c>
      <c r="U204" s="62">
        <v>0</v>
      </c>
      <c r="V204" s="62">
        <v>0</v>
      </c>
      <c r="W204" s="62">
        <v>50000</v>
      </c>
    </row>
    <row r="205" spans="1:23" ht="24" customHeight="1">
      <c r="A205" s="60" t="s">
        <v>244</v>
      </c>
      <c r="B205" s="61" t="s">
        <v>495</v>
      </c>
      <c r="C205" s="62">
        <f t="shared" si="6"/>
        <v>2700000</v>
      </c>
      <c r="D205" s="62">
        <v>0</v>
      </c>
      <c r="E205" s="62">
        <v>0</v>
      </c>
      <c r="F205" s="62">
        <v>0</v>
      </c>
      <c r="G205" s="62">
        <v>0</v>
      </c>
      <c r="H205" s="62">
        <v>0</v>
      </c>
      <c r="I205" s="62">
        <v>0</v>
      </c>
      <c r="J205" s="62">
        <v>0</v>
      </c>
      <c r="K205" s="62">
        <v>0</v>
      </c>
      <c r="L205" s="62">
        <v>1000</v>
      </c>
      <c r="M205" s="62">
        <f>L205*1850</f>
        <v>1850000</v>
      </c>
      <c r="N205" s="62">
        <v>0</v>
      </c>
      <c r="O205" s="62">
        <v>0</v>
      </c>
      <c r="P205" s="62">
        <v>800</v>
      </c>
      <c r="Q205" s="62">
        <f t="shared" si="7"/>
        <v>800000</v>
      </c>
      <c r="R205" s="62">
        <v>0</v>
      </c>
      <c r="S205" s="62">
        <v>0</v>
      </c>
      <c r="T205" s="62">
        <v>0</v>
      </c>
      <c r="U205" s="62">
        <v>0</v>
      </c>
      <c r="V205" s="62">
        <v>0</v>
      </c>
      <c r="W205" s="62">
        <v>50000</v>
      </c>
    </row>
    <row r="206" spans="1:23" ht="24" customHeight="1">
      <c r="A206" s="60" t="s">
        <v>245</v>
      </c>
      <c r="B206" s="61" t="s">
        <v>496</v>
      </c>
      <c r="C206" s="62">
        <f t="shared" si="6"/>
        <v>1208750</v>
      </c>
      <c r="D206" s="62">
        <v>0</v>
      </c>
      <c r="E206" s="62">
        <v>0</v>
      </c>
      <c r="F206" s="62">
        <v>0</v>
      </c>
      <c r="G206" s="62">
        <v>0</v>
      </c>
      <c r="H206" s="62">
        <v>0</v>
      </c>
      <c r="I206" s="62">
        <v>0</v>
      </c>
      <c r="J206" s="62">
        <v>0</v>
      </c>
      <c r="K206" s="62">
        <v>0</v>
      </c>
      <c r="L206" s="62">
        <v>435</v>
      </c>
      <c r="M206" s="62">
        <f>L206*1850</f>
        <v>804750</v>
      </c>
      <c r="N206" s="62">
        <v>0</v>
      </c>
      <c r="O206" s="62">
        <v>0</v>
      </c>
      <c r="P206" s="62">
        <v>354</v>
      </c>
      <c r="Q206" s="62">
        <f t="shared" si="7"/>
        <v>354000</v>
      </c>
      <c r="R206" s="62">
        <v>0</v>
      </c>
      <c r="S206" s="62">
        <v>0</v>
      </c>
      <c r="T206" s="62">
        <v>0</v>
      </c>
      <c r="U206" s="62">
        <v>0</v>
      </c>
      <c r="V206" s="62">
        <v>0</v>
      </c>
      <c r="W206" s="62">
        <v>50000</v>
      </c>
    </row>
    <row r="207" spans="1:23" ht="24" customHeight="1">
      <c r="A207" s="60" t="s">
        <v>246</v>
      </c>
      <c r="B207" s="61" t="s">
        <v>566</v>
      </c>
      <c r="C207" s="62">
        <f t="shared" si="6"/>
        <v>1198000</v>
      </c>
      <c r="D207" s="62">
        <v>0</v>
      </c>
      <c r="E207" s="62">
        <v>0</v>
      </c>
      <c r="F207" s="62">
        <v>0</v>
      </c>
      <c r="G207" s="62">
        <v>448000</v>
      </c>
      <c r="H207" s="62">
        <v>400000</v>
      </c>
      <c r="I207" s="62">
        <v>250000</v>
      </c>
      <c r="J207" s="62">
        <v>0</v>
      </c>
      <c r="K207" s="62">
        <v>0</v>
      </c>
      <c r="L207" s="62">
        <v>0</v>
      </c>
      <c r="M207" s="62">
        <v>0</v>
      </c>
      <c r="N207" s="62">
        <v>0</v>
      </c>
      <c r="O207" s="62">
        <v>0</v>
      </c>
      <c r="P207" s="62">
        <v>0</v>
      </c>
      <c r="Q207" s="62">
        <v>0</v>
      </c>
      <c r="R207" s="62">
        <v>0</v>
      </c>
      <c r="S207" s="62">
        <v>0</v>
      </c>
      <c r="T207" s="62">
        <v>0</v>
      </c>
      <c r="U207" s="62">
        <v>0</v>
      </c>
      <c r="V207" s="62">
        <v>0</v>
      </c>
      <c r="W207" s="62">
        <v>100000</v>
      </c>
    </row>
    <row r="208" spans="1:23" ht="24" customHeight="1">
      <c r="A208" s="60" t="s">
        <v>247</v>
      </c>
      <c r="B208" s="61" t="s">
        <v>498</v>
      </c>
      <c r="C208" s="62">
        <f t="shared" si="6"/>
        <v>2577520</v>
      </c>
      <c r="D208" s="62">
        <v>0</v>
      </c>
      <c r="E208" s="62">
        <v>0</v>
      </c>
      <c r="F208" s="62">
        <v>0</v>
      </c>
      <c r="G208" s="62">
        <v>739158</v>
      </c>
      <c r="H208" s="62">
        <v>739158</v>
      </c>
      <c r="I208" s="62">
        <v>0</v>
      </c>
      <c r="J208" s="62">
        <v>0</v>
      </c>
      <c r="K208" s="62">
        <v>0</v>
      </c>
      <c r="L208" s="62">
        <v>1326</v>
      </c>
      <c r="M208" s="62">
        <v>1099204</v>
      </c>
      <c r="N208" s="62">
        <v>0</v>
      </c>
      <c r="O208" s="62">
        <v>0</v>
      </c>
      <c r="P208" s="62">
        <v>0</v>
      </c>
      <c r="Q208" s="62">
        <v>0</v>
      </c>
      <c r="R208" s="62">
        <v>0</v>
      </c>
      <c r="S208" s="62">
        <v>0</v>
      </c>
      <c r="T208" s="62">
        <v>0</v>
      </c>
      <c r="U208" s="62">
        <v>0</v>
      </c>
      <c r="V208" s="62">
        <v>0</v>
      </c>
      <c r="W208" s="62">
        <v>0</v>
      </c>
    </row>
    <row r="209" spans="1:23" ht="24" customHeight="1">
      <c r="A209" s="60" t="s">
        <v>248</v>
      </c>
      <c r="B209" s="61" t="s">
        <v>499</v>
      </c>
      <c r="C209" s="62">
        <f t="shared" si="6"/>
        <v>1994400</v>
      </c>
      <c r="D209" s="62">
        <v>0</v>
      </c>
      <c r="E209" s="62">
        <v>0</v>
      </c>
      <c r="F209" s="62">
        <v>0</v>
      </c>
      <c r="G209" s="62">
        <v>0</v>
      </c>
      <c r="H209" s="62">
        <v>207200</v>
      </c>
      <c r="I209" s="62">
        <v>0</v>
      </c>
      <c r="J209" s="62">
        <v>0</v>
      </c>
      <c r="K209" s="62">
        <v>0</v>
      </c>
      <c r="L209" s="62">
        <v>912</v>
      </c>
      <c r="M209" s="62">
        <v>1687200</v>
      </c>
      <c r="N209" s="62">
        <v>0</v>
      </c>
      <c r="O209" s="62">
        <v>0</v>
      </c>
      <c r="P209" s="62">
        <v>0</v>
      </c>
      <c r="Q209" s="62">
        <v>0</v>
      </c>
      <c r="R209" s="62">
        <v>0</v>
      </c>
      <c r="S209" s="62">
        <v>0</v>
      </c>
      <c r="T209" s="62">
        <v>0</v>
      </c>
      <c r="U209" s="62">
        <v>0</v>
      </c>
      <c r="V209" s="62">
        <v>0</v>
      </c>
      <c r="W209" s="62">
        <v>100000</v>
      </c>
    </row>
    <row r="210" spans="1:23" ht="24" customHeight="1">
      <c r="A210" s="60" t="s">
        <v>249</v>
      </c>
      <c r="B210" s="61" t="s">
        <v>500</v>
      </c>
      <c r="C210" s="62">
        <f t="shared" si="6"/>
        <v>6114695</v>
      </c>
      <c r="D210" s="62">
        <v>0</v>
      </c>
      <c r="E210" s="62">
        <v>0</v>
      </c>
      <c r="F210" s="62">
        <v>0</v>
      </c>
      <c r="G210" s="62">
        <v>0</v>
      </c>
      <c r="H210" s="62">
        <v>0</v>
      </c>
      <c r="I210" s="62">
        <v>0</v>
      </c>
      <c r="J210" s="62">
        <v>0</v>
      </c>
      <c r="K210" s="62">
        <v>0</v>
      </c>
      <c r="L210" s="62">
        <v>2523</v>
      </c>
      <c r="M210" s="62">
        <v>6114695</v>
      </c>
      <c r="N210" s="62">
        <v>0</v>
      </c>
      <c r="O210" s="62">
        <v>0</v>
      </c>
      <c r="P210" s="62">
        <v>0</v>
      </c>
      <c r="Q210" s="62">
        <v>0</v>
      </c>
      <c r="R210" s="62">
        <v>0</v>
      </c>
      <c r="S210" s="62">
        <v>0</v>
      </c>
      <c r="T210" s="62">
        <v>0</v>
      </c>
      <c r="U210" s="62">
        <v>0</v>
      </c>
      <c r="V210" s="62">
        <v>0</v>
      </c>
      <c r="W210" s="62">
        <v>0</v>
      </c>
    </row>
    <row r="211" spans="1:23" ht="24" customHeight="1">
      <c r="A211" s="60" t="s">
        <v>250</v>
      </c>
      <c r="B211" s="61" t="s">
        <v>501</v>
      </c>
      <c r="C211" s="62">
        <f t="shared" si="6"/>
        <v>1285140</v>
      </c>
      <c r="D211" s="62">
        <v>0</v>
      </c>
      <c r="E211" s="62">
        <v>0</v>
      </c>
      <c r="F211" s="62">
        <v>0</v>
      </c>
      <c r="G211" s="62">
        <v>452600</v>
      </c>
      <c r="H211" s="62">
        <v>219040</v>
      </c>
      <c r="I211" s="62">
        <v>0</v>
      </c>
      <c r="J211" s="62">
        <v>0</v>
      </c>
      <c r="K211" s="62">
        <v>0</v>
      </c>
      <c r="L211" s="62">
        <v>395</v>
      </c>
      <c r="M211" s="62">
        <v>513500</v>
      </c>
      <c r="N211" s="62">
        <v>0</v>
      </c>
      <c r="O211" s="62">
        <v>0</v>
      </c>
      <c r="P211" s="62">
        <v>0</v>
      </c>
      <c r="Q211" s="62">
        <v>0</v>
      </c>
      <c r="R211" s="62">
        <v>0</v>
      </c>
      <c r="S211" s="62">
        <v>0</v>
      </c>
      <c r="T211" s="62">
        <v>0</v>
      </c>
      <c r="U211" s="62">
        <v>0</v>
      </c>
      <c r="V211" s="62">
        <v>0</v>
      </c>
      <c r="W211" s="62">
        <v>100000</v>
      </c>
    </row>
    <row r="212" spans="1:23" ht="24" customHeight="1">
      <c r="A212" s="60" t="s">
        <v>251</v>
      </c>
      <c r="B212" s="61" t="s">
        <v>502</v>
      </c>
      <c r="C212" s="62">
        <f aca="true" t="shared" si="8" ref="C212:C230">D212+E212+F212+G212+H212+I212+K212+M212+O212+Q212+R212+T212+U212+V212+W212</f>
        <v>300000</v>
      </c>
      <c r="D212" s="62">
        <v>0</v>
      </c>
      <c r="E212" s="62">
        <v>0</v>
      </c>
      <c r="F212" s="62">
        <v>0</v>
      </c>
      <c r="G212" s="62">
        <v>0</v>
      </c>
      <c r="H212" s="62">
        <v>200000</v>
      </c>
      <c r="I212" s="62">
        <v>0</v>
      </c>
      <c r="J212" s="62">
        <v>0</v>
      </c>
      <c r="K212" s="62">
        <v>0</v>
      </c>
      <c r="L212" s="62">
        <v>0</v>
      </c>
      <c r="M212" s="62">
        <v>0</v>
      </c>
      <c r="N212" s="62">
        <v>0</v>
      </c>
      <c r="O212" s="62">
        <v>0</v>
      </c>
      <c r="P212" s="62">
        <v>0</v>
      </c>
      <c r="Q212" s="62">
        <v>0</v>
      </c>
      <c r="R212" s="62">
        <v>0</v>
      </c>
      <c r="S212" s="62">
        <v>0</v>
      </c>
      <c r="T212" s="62">
        <v>0</v>
      </c>
      <c r="U212" s="62">
        <v>0</v>
      </c>
      <c r="V212" s="62">
        <v>0</v>
      </c>
      <c r="W212" s="62">
        <v>100000</v>
      </c>
    </row>
    <row r="213" spans="1:23" ht="24" customHeight="1">
      <c r="A213" s="60" t="s">
        <v>252</v>
      </c>
      <c r="B213" s="61" t="s">
        <v>503</v>
      </c>
      <c r="C213" s="62">
        <f t="shared" si="8"/>
        <v>300000</v>
      </c>
      <c r="D213" s="62">
        <v>0</v>
      </c>
      <c r="E213" s="62">
        <v>0</v>
      </c>
      <c r="F213" s="62">
        <v>0</v>
      </c>
      <c r="G213" s="62">
        <v>0</v>
      </c>
      <c r="H213" s="62">
        <v>200000</v>
      </c>
      <c r="I213" s="62">
        <v>0</v>
      </c>
      <c r="J213" s="62">
        <v>0</v>
      </c>
      <c r="K213" s="62">
        <v>0</v>
      </c>
      <c r="L213" s="62">
        <v>0</v>
      </c>
      <c r="M213" s="62">
        <v>0</v>
      </c>
      <c r="N213" s="62">
        <v>0</v>
      </c>
      <c r="O213" s="62">
        <v>0</v>
      </c>
      <c r="P213" s="62">
        <v>0</v>
      </c>
      <c r="Q213" s="62">
        <v>0</v>
      </c>
      <c r="R213" s="62">
        <v>0</v>
      </c>
      <c r="S213" s="62">
        <v>0</v>
      </c>
      <c r="T213" s="62">
        <v>0</v>
      </c>
      <c r="U213" s="62">
        <v>0</v>
      </c>
      <c r="V213" s="62">
        <v>0</v>
      </c>
      <c r="W213" s="62">
        <v>100000</v>
      </c>
    </row>
    <row r="214" spans="1:23" ht="24" customHeight="1">
      <c r="A214" s="60" t="s">
        <v>307</v>
      </c>
      <c r="B214" s="61" t="s">
        <v>504</v>
      </c>
      <c r="C214" s="62">
        <f t="shared" si="8"/>
        <v>24385</v>
      </c>
      <c r="D214" s="62">
        <v>0</v>
      </c>
      <c r="E214" s="62">
        <v>0</v>
      </c>
      <c r="F214" s="62">
        <v>0</v>
      </c>
      <c r="G214" s="62">
        <v>0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62">
        <v>0</v>
      </c>
      <c r="N214" s="62">
        <v>0</v>
      </c>
      <c r="O214" s="62">
        <v>0</v>
      </c>
      <c r="P214" s="62">
        <v>0</v>
      </c>
      <c r="Q214" s="62">
        <v>0</v>
      </c>
      <c r="R214" s="62">
        <v>0</v>
      </c>
      <c r="S214" s="62">
        <v>0</v>
      </c>
      <c r="T214" s="62">
        <v>0</v>
      </c>
      <c r="U214" s="62">
        <v>0</v>
      </c>
      <c r="V214" s="62">
        <v>0</v>
      </c>
      <c r="W214" s="62">
        <v>24385</v>
      </c>
    </row>
    <row r="215" spans="1:23" ht="24" customHeight="1">
      <c r="A215" s="60" t="s">
        <v>253</v>
      </c>
      <c r="B215" s="61" t="s">
        <v>505</v>
      </c>
      <c r="C215" s="62">
        <f t="shared" si="8"/>
        <v>689040</v>
      </c>
      <c r="D215" s="62">
        <v>0</v>
      </c>
      <c r="E215" s="62">
        <v>0</v>
      </c>
      <c r="F215" s="62">
        <v>0</v>
      </c>
      <c r="G215" s="62">
        <v>0</v>
      </c>
      <c r="H215" s="62">
        <v>589040</v>
      </c>
      <c r="I215" s="62">
        <v>0</v>
      </c>
      <c r="J215" s="62">
        <v>0</v>
      </c>
      <c r="K215" s="62">
        <v>0</v>
      </c>
      <c r="L215" s="62">
        <v>0</v>
      </c>
      <c r="M215" s="62">
        <v>0</v>
      </c>
      <c r="N215" s="62">
        <v>0</v>
      </c>
      <c r="O215" s="62">
        <v>0</v>
      </c>
      <c r="P215" s="62">
        <v>0</v>
      </c>
      <c r="Q215" s="62">
        <v>0</v>
      </c>
      <c r="R215" s="62">
        <v>0</v>
      </c>
      <c r="S215" s="62">
        <v>0</v>
      </c>
      <c r="T215" s="62">
        <v>0</v>
      </c>
      <c r="U215" s="62">
        <v>0</v>
      </c>
      <c r="V215" s="62">
        <v>0</v>
      </c>
      <c r="W215" s="62">
        <v>100000</v>
      </c>
    </row>
    <row r="216" spans="1:23" ht="24" customHeight="1">
      <c r="A216" s="60" t="s">
        <v>254</v>
      </c>
      <c r="B216" s="61" t="s">
        <v>506</v>
      </c>
      <c r="C216" s="62">
        <f t="shared" si="8"/>
        <v>2100000</v>
      </c>
      <c r="D216" s="62">
        <v>0</v>
      </c>
      <c r="E216" s="62">
        <v>0</v>
      </c>
      <c r="F216" s="62">
        <v>0</v>
      </c>
      <c r="G216" s="62">
        <v>450000</v>
      </c>
      <c r="H216" s="62">
        <v>450000</v>
      </c>
      <c r="I216" s="62">
        <v>0</v>
      </c>
      <c r="J216" s="62">
        <v>0</v>
      </c>
      <c r="K216" s="62">
        <v>0</v>
      </c>
      <c r="L216" s="62">
        <v>700</v>
      </c>
      <c r="M216" s="62">
        <v>1100000</v>
      </c>
      <c r="N216" s="62">
        <v>0</v>
      </c>
      <c r="O216" s="62">
        <v>0</v>
      </c>
      <c r="P216" s="62">
        <v>0</v>
      </c>
      <c r="Q216" s="62">
        <v>0</v>
      </c>
      <c r="R216" s="62">
        <v>0</v>
      </c>
      <c r="S216" s="62">
        <v>0</v>
      </c>
      <c r="T216" s="62">
        <v>0</v>
      </c>
      <c r="U216" s="62">
        <v>0</v>
      </c>
      <c r="V216" s="62">
        <v>0</v>
      </c>
      <c r="W216" s="62">
        <v>100000</v>
      </c>
    </row>
    <row r="217" spans="1:23" ht="24" customHeight="1">
      <c r="A217" s="60" t="s">
        <v>255</v>
      </c>
      <c r="B217" s="61" t="s">
        <v>510</v>
      </c>
      <c r="C217" s="62">
        <f t="shared" si="8"/>
        <v>4480160</v>
      </c>
      <c r="D217" s="62">
        <v>0</v>
      </c>
      <c r="E217" s="62">
        <v>0</v>
      </c>
      <c r="F217" s="62">
        <v>0</v>
      </c>
      <c r="G217" s="62">
        <v>2790000</v>
      </c>
      <c r="H217" s="62">
        <v>1690160</v>
      </c>
      <c r="I217" s="62">
        <v>0</v>
      </c>
      <c r="J217" s="62">
        <v>0</v>
      </c>
      <c r="K217" s="62">
        <v>0</v>
      </c>
      <c r="L217" s="62">
        <v>0</v>
      </c>
      <c r="M217" s="62">
        <v>0</v>
      </c>
      <c r="N217" s="62">
        <v>0</v>
      </c>
      <c r="O217" s="62">
        <v>0</v>
      </c>
      <c r="P217" s="62">
        <v>0</v>
      </c>
      <c r="Q217" s="62">
        <v>0</v>
      </c>
      <c r="R217" s="62">
        <v>0</v>
      </c>
      <c r="S217" s="62">
        <v>0</v>
      </c>
      <c r="T217" s="62">
        <v>0</v>
      </c>
      <c r="U217" s="62">
        <v>0</v>
      </c>
      <c r="V217" s="62">
        <v>0</v>
      </c>
      <c r="W217" s="62">
        <v>0</v>
      </c>
    </row>
    <row r="218" spans="1:23" ht="24" customHeight="1">
      <c r="A218" s="60" t="s">
        <v>256</v>
      </c>
      <c r="B218" s="61" t="s">
        <v>511</v>
      </c>
      <c r="C218" s="62">
        <f t="shared" si="8"/>
        <v>2700000</v>
      </c>
      <c r="D218" s="62">
        <v>0</v>
      </c>
      <c r="E218" s="62">
        <v>0</v>
      </c>
      <c r="F218" s="62">
        <v>0</v>
      </c>
      <c r="G218" s="62">
        <v>550000</v>
      </c>
      <c r="H218" s="62">
        <v>550000</v>
      </c>
      <c r="I218" s="62">
        <v>0</v>
      </c>
      <c r="J218" s="62">
        <v>0</v>
      </c>
      <c r="K218" s="62">
        <v>0</v>
      </c>
      <c r="L218" s="62">
        <v>950</v>
      </c>
      <c r="M218" s="62">
        <v>1500000</v>
      </c>
      <c r="N218" s="62">
        <v>0</v>
      </c>
      <c r="O218" s="62">
        <v>0</v>
      </c>
      <c r="P218" s="62">
        <v>0</v>
      </c>
      <c r="Q218" s="62">
        <v>0</v>
      </c>
      <c r="R218" s="62">
        <v>0</v>
      </c>
      <c r="S218" s="62">
        <v>0</v>
      </c>
      <c r="T218" s="62">
        <v>0</v>
      </c>
      <c r="U218" s="62">
        <v>0</v>
      </c>
      <c r="V218" s="62">
        <v>0</v>
      </c>
      <c r="W218" s="62">
        <v>100000</v>
      </c>
    </row>
    <row r="219" spans="1:23" ht="24" customHeight="1">
      <c r="A219" s="60" t="s">
        <v>257</v>
      </c>
      <c r="B219" s="61" t="s">
        <v>512</v>
      </c>
      <c r="C219" s="62">
        <f t="shared" si="8"/>
        <v>650000</v>
      </c>
      <c r="D219" s="62">
        <v>0</v>
      </c>
      <c r="E219" s="62">
        <v>0</v>
      </c>
      <c r="F219" s="62">
        <v>0</v>
      </c>
      <c r="G219" s="62">
        <v>0</v>
      </c>
      <c r="H219" s="62">
        <v>0</v>
      </c>
      <c r="I219" s="62">
        <v>0</v>
      </c>
      <c r="J219" s="62">
        <v>0</v>
      </c>
      <c r="K219" s="62">
        <v>0</v>
      </c>
      <c r="L219" s="62">
        <v>0</v>
      </c>
      <c r="M219" s="62">
        <v>0</v>
      </c>
      <c r="N219" s="62">
        <v>0</v>
      </c>
      <c r="O219" s="62">
        <v>0</v>
      </c>
      <c r="P219" s="62">
        <v>550</v>
      </c>
      <c r="Q219" s="62">
        <f>P219*1000</f>
        <v>550000</v>
      </c>
      <c r="R219" s="62">
        <v>0</v>
      </c>
      <c r="S219" s="62">
        <v>0</v>
      </c>
      <c r="T219" s="62">
        <v>0</v>
      </c>
      <c r="U219" s="62">
        <v>0</v>
      </c>
      <c r="V219" s="62">
        <v>0</v>
      </c>
      <c r="W219" s="62">
        <v>100000</v>
      </c>
    </row>
    <row r="220" spans="1:23" ht="24" customHeight="1">
      <c r="A220" s="60" t="s">
        <v>258</v>
      </c>
      <c r="B220" s="61" t="s">
        <v>516</v>
      </c>
      <c r="C220" s="62">
        <f t="shared" si="8"/>
        <v>1650000</v>
      </c>
      <c r="D220" s="62">
        <v>0</v>
      </c>
      <c r="E220" s="62">
        <v>0</v>
      </c>
      <c r="F220" s="62">
        <v>0</v>
      </c>
      <c r="G220" s="62">
        <v>0</v>
      </c>
      <c r="H220" s="62">
        <v>450000</v>
      </c>
      <c r="I220" s="62">
        <v>0</v>
      </c>
      <c r="J220" s="62">
        <v>0</v>
      </c>
      <c r="K220" s="62">
        <v>0</v>
      </c>
      <c r="L220" s="62">
        <v>700</v>
      </c>
      <c r="M220" s="62">
        <v>1100000</v>
      </c>
      <c r="N220" s="62">
        <v>0</v>
      </c>
      <c r="O220" s="62">
        <v>0</v>
      </c>
      <c r="P220" s="62">
        <v>0</v>
      </c>
      <c r="Q220" s="62">
        <v>0</v>
      </c>
      <c r="R220" s="62">
        <v>0</v>
      </c>
      <c r="S220" s="62">
        <v>0</v>
      </c>
      <c r="T220" s="62">
        <v>0</v>
      </c>
      <c r="U220" s="62">
        <v>0</v>
      </c>
      <c r="V220" s="62">
        <v>0</v>
      </c>
      <c r="W220" s="62">
        <v>100000</v>
      </c>
    </row>
    <row r="221" spans="1:23" ht="24" customHeight="1">
      <c r="A221" s="60" t="s">
        <v>259</v>
      </c>
      <c r="B221" s="61" t="s">
        <v>517</v>
      </c>
      <c r="C221" s="62">
        <f t="shared" si="8"/>
        <v>1000000</v>
      </c>
      <c r="D221" s="62">
        <v>0</v>
      </c>
      <c r="E221" s="62">
        <v>0</v>
      </c>
      <c r="F221" s="62">
        <v>0</v>
      </c>
      <c r="G221" s="62">
        <v>450000</v>
      </c>
      <c r="H221" s="62">
        <v>450000</v>
      </c>
      <c r="I221" s="62">
        <v>0</v>
      </c>
      <c r="J221" s="62">
        <v>0</v>
      </c>
      <c r="K221" s="62">
        <v>0</v>
      </c>
      <c r="L221" s="62">
        <v>0</v>
      </c>
      <c r="M221" s="62">
        <v>0</v>
      </c>
      <c r="N221" s="62">
        <v>0</v>
      </c>
      <c r="O221" s="62">
        <v>0</v>
      </c>
      <c r="P221" s="62">
        <v>0</v>
      </c>
      <c r="Q221" s="62">
        <v>0</v>
      </c>
      <c r="R221" s="62">
        <v>0</v>
      </c>
      <c r="S221" s="62">
        <v>0</v>
      </c>
      <c r="T221" s="62">
        <v>0</v>
      </c>
      <c r="U221" s="62">
        <v>0</v>
      </c>
      <c r="V221" s="62">
        <v>0</v>
      </c>
      <c r="W221" s="62">
        <v>100000</v>
      </c>
    </row>
    <row r="222" spans="1:23" ht="24" customHeight="1">
      <c r="A222" s="60" t="s">
        <v>260</v>
      </c>
      <c r="B222" s="61" t="s">
        <v>578</v>
      </c>
      <c r="C222" s="62">
        <f t="shared" si="8"/>
        <v>900000</v>
      </c>
      <c r="D222" s="62">
        <v>0</v>
      </c>
      <c r="E222" s="62">
        <v>0</v>
      </c>
      <c r="F222" s="62">
        <v>0</v>
      </c>
      <c r="G222" s="62">
        <v>0</v>
      </c>
      <c r="H222" s="62">
        <v>0</v>
      </c>
      <c r="I222" s="62">
        <v>0</v>
      </c>
      <c r="J222" s="62">
        <v>0</v>
      </c>
      <c r="K222" s="62">
        <v>0</v>
      </c>
      <c r="L222" s="62">
        <v>250</v>
      </c>
      <c r="M222" s="62">
        <v>450000</v>
      </c>
      <c r="N222" s="62">
        <v>0</v>
      </c>
      <c r="O222" s="62">
        <v>0</v>
      </c>
      <c r="P222" s="62">
        <v>400</v>
      </c>
      <c r="Q222" s="62">
        <f>P222*1000</f>
        <v>400000</v>
      </c>
      <c r="R222" s="62">
        <v>0</v>
      </c>
      <c r="S222" s="62">
        <v>0</v>
      </c>
      <c r="T222" s="62">
        <v>0</v>
      </c>
      <c r="U222" s="62">
        <v>0</v>
      </c>
      <c r="V222" s="62">
        <v>0</v>
      </c>
      <c r="W222" s="62">
        <v>50000</v>
      </c>
    </row>
    <row r="223" spans="1:23" ht="24" customHeight="1">
      <c r="A223" s="60" t="s">
        <v>261</v>
      </c>
      <c r="B223" s="61" t="s">
        <v>561</v>
      </c>
      <c r="C223" s="62">
        <f t="shared" si="8"/>
        <v>1549370</v>
      </c>
      <c r="D223" s="62">
        <v>0</v>
      </c>
      <c r="E223" s="62">
        <v>0</v>
      </c>
      <c r="F223" s="62">
        <v>0</v>
      </c>
      <c r="G223" s="62">
        <v>0</v>
      </c>
      <c r="H223" s="62">
        <v>0</v>
      </c>
      <c r="I223" s="62">
        <v>0</v>
      </c>
      <c r="J223" s="62">
        <v>0</v>
      </c>
      <c r="K223" s="62">
        <v>0</v>
      </c>
      <c r="L223" s="62">
        <v>0</v>
      </c>
      <c r="M223" s="62">
        <v>0</v>
      </c>
      <c r="N223" s="62">
        <v>0</v>
      </c>
      <c r="O223" s="62">
        <v>0</v>
      </c>
      <c r="P223" s="62">
        <v>955</v>
      </c>
      <c r="Q223" s="62">
        <v>1449370</v>
      </c>
      <c r="R223" s="62">
        <v>0</v>
      </c>
      <c r="S223" s="62">
        <v>0</v>
      </c>
      <c r="T223" s="62">
        <v>0</v>
      </c>
      <c r="U223" s="62">
        <v>0</v>
      </c>
      <c r="V223" s="62">
        <v>0</v>
      </c>
      <c r="W223" s="62">
        <v>100000</v>
      </c>
    </row>
    <row r="224" spans="1:23" ht="24" customHeight="1">
      <c r="A224" s="60" t="s">
        <v>262</v>
      </c>
      <c r="B224" s="61" t="s">
        <v>562</v>
      </c>
      <c r="C224" s="62">
        <f t="shared" si="8"/>
        <v>1154085</v>
      </c>
      <c r="D224" s="62">
        <v>0</v>
      </c>
      <c r="E224" s="62">
        <v>0</v>
      </c>
      <c r="F224" s="62">
        <v>0</v>
      </c>
      <c r="G224" s="62">
        <v>0</v>
      </c>
      <c r="H224" s="62">
        <v>0</v>
      </c>
      <c r="I224" s="62">
        <v>0</v>
      </c>
      <c r="J224" s="62">
        <v>0</v>
      </c>
      <c r="K224" s="62">
        <v>0</v>
      </c>
      <c r="L224" s="62">
        <v>0</v>
      </c>
      <c r="M224" s="62">
        <v>0</v>
      </c>
      <c r="N224" s="62">
        <v>0</v>
      </c>
      <c r="O224" s="62">
        <v>0</v>
      </c>
      <c r="P224" s="62">
        <v>648</v>
      </c>
      <c r="Q224" s="62">
        <v>1054085</v>
      </c>
      <c r="R224" s="62">
        <v>0</v>
      </c>
      <c r="S224" s="62">
        <v>0</v>
      </c>
      <c r="T224" s="62">
        <v>0</v>
      </c>
      <c r="U224" s="62">
        <v>0</v>
      </c>
      <c r="V224" s="62">
        <v>0</v>
      </c>
      <c r="W224" s="62">
        <v>100000</v>
      </c>
    </row>
    <row r="225" spans="1:23" ht="24" customHeight="1">
      <c r="A225" s="60" t="s">
        <v>263</v>
      </c>
      <c r="B225" s="61" t="s">
        <v>567</v>
      </c>
      <c r="C225" s="62">
        <f t="shared" si="8"/>
        <v>2395908</v>
      </c>
      <c r="D225" s="62">
        <v>0</v>
      </c>
      <c r="E225" s="62">
        <v>0</v>
      </c>
      <c r="F225" s="62">
        <v>0</v>
      </c>
      <c r="G225" s="62">
        <v>0</v>
      </c>
      <c r="H225" s="62">
        <v>0</v>
      </c>
      <c r="I225" s="62">
        <v>0</v>
      </c>
      <c r="J225" s="62">
        <v>0</v>
      </c>
      <c r="K225" s="62">
        <v>0</v>
      </c>
      <c r="L225" s="62">
        <v>0</v>
      </c>
      <c r="M225" s="62">
        <v>0</v>
      </c>
      <c r="N225" s="62">
        <v>0</v>
      </c>
      <c r="O225" s="62">
        <v>0</v>
      </c>
      <c r="P225" s="62">
        <v>2665</v>
      </c>
      <c r="Q225" s="62">
        <v>2295908</v>
      </c>
      <c r="R225" s="62">
        <v>0</v>
      </c>
      <c r="S225" s="62">
        <v>0</v>
      </c>
      <c r="T225" s="62">
        <v>0</v>
      </c>
      <c r="U225" s="62">
        <v>0</v>
      </c>
      <c r="V225" s="62">
        <v>0</v>
      </c>
      <c r="W225" s="62">
        <v>100000</v>
      </c>
    </row>
    <row r="226" spans="1:23" ht="24" customHeight="1">
      <c r="A226" s="60" t="s">
        <v>264</v>
      </c>
      <c r="B226" s="61" t="s">
        <v>518</v>
      </c>
      <c r="C226" s="62">
        <f t="shared" si="8"/>
        <v>300000</v>
      </c>
      <c r="D226" s="62">
        <v>0</v>
      </c>
      <c r="E226" s="62">
        <v>0</v>
      </c>
      <c r="F226" s="62">
        <v>0</v>
      </c>
      <c r="G226" s="62">
        <v>0</v>
      </c>
      <c r="H226" s="62">
        <v>0</v>
      </c>
      <c r="I226" s="62">
        <v>0</v>
      </c>
      <c r="J226" s="62">
        <v>0</v>
      </c>
      <c r="K226" s="62">
        <v>0</v>
      </c>
      <c r="L226" s="62">
        <v>100</v>
      </c>
      <c r="M226" s="62">
        <v>200000</v>
      </c>
      <c r="N226" s="62">
        <v>0</v>
      </c>
      <c r="O226" s="62">
        <v>0</v>
      </c>
      <c r="P226" s="62">
        <v>0</v>
      </c>
      <c r="Q226" s="62">
        <v>0</v>
      </c>
      <c r="R226" s="62">
        <v>0</v>
      </c>
      <c r="S226" s="62">
        <v>0</v>
      </c>
      <c r="T226" s="62">
        <v>0</v>
      </c>
      <c r="U226" s="62">
        <v>0</v>
      </c>
      <c r="V226" s="62">
        <v>0</v>
      </c>
      <c r="W226" s="62">
        <v>100000</v>
      </c>
    </row>
    <row r="227" spans="1:23" ht="24" customHeight="1">
      <c r="A227" s="60" t="s">
        <v>265</v>
      </c>
      <c r="B227" s="61" t="s">
        <v>519</v>
      </c>
      <c r="C227" s="62">
        <f t="shared" si="8"/>
        <v>120000</v>
      </c>
      <c r="D227" s="62">
        <v>0</v>
      </c>
      <c r="E227" s="62">
        <v>0</v>
      </c>
      <c r="F227" s="62">
        <v>0</v>
      </c>
      <c r="G227" s="62">
        <v>0</v>
      </c>
      <c r="H227" s="62">
        <v>0</v>
      </c>
      <c r="I227" s="62">
        <v>0</v>
      </c>
      <c r="J227" s="62">
        <v>0</v>
      </c>
      <c r="K227" s="62">
        <v>0</v>
      </c>
      <c r="L227" s="62">
        <v>700</v>
      </c>
      <c r="M227" s="62">
        <v>120000</v>
      </c>
      <c r="N227" s="62">
        <v>0</v>
      </c>
      <c r="O227" s="62">
        <v>0</v>
      </c>
      <c r="P227" s="62">
        <v>0</v>
      </c>
      <c r="Q227" s="62">
        <v>0</v>
      </c>
      <c r="R227" s="62">
        <v>0</v>
      </c>
      <c r="S227" s="62">
        <v>0</v>
      </c>
      <c r="T227" s="62">
        <v>0</v>
      </c>
      <c r="U227" s="62">
        <v>0</v>
      </c>
      <c r="V227" s="62">
        <v>0</v>
      </c>
      <c r="W227" s="62">
        <v>0</v>
      </c>
    </row>
    <row r="228" spans="1:23" ht="24" customHeight="1">
      <c r="A228" s="60" t="s">
        <v>266</v>
      </c>
      <c r="B228" s="61" t="s">
        <v>520</v>
      </c>
      <c r="C228" s="62">
        <f t="shared" si="8"/>
        <v>700000</v>
      </c>
      <c r="D228" s="62">
        <v>0</v>
      </c>
      <c r="E228" s="62">
        <v>0</v>
      </c>
      <c r="F228" s="62">
        <v>0</v>
      </c>
      <c r="G228" s="62">
        <v>0</v>
      </c>
      <c r="H228" s="62">
        <v>200000</v>
      </c>
      <c r="I228" s="62">
        <v>0</v>
      </c>
      <c r="J228" s="62">
        <v>0</v>
      </c>
      <c r="K228" s="62">
        <v>0</v>
      </c>
      <c r="L228" s="62">
        <v>250</v>
      </c>
      <c r="M228" s="62">
        <v>400000</v>
      </c>
      <c r="N228" s="62">
        <v>0</v>
      </c>
      <c r="O228" s="62">
        <v>0</v>
      </c>
      <c r="P228" s="62">
        <v>0</v>
      </c>
      <c r="Q228" s="62">
        <v>0</v>
      </c>
      <c r="R228" s="62">
        <v>0</v>
      </c>
      <c r="S228" s="62">
        <v>0</v>
      </c>
      <c r="T228" s="62">
        <v>0</v>
      </c>
      <c r="U228" s="62">
        <v>0</v>
      </c>
      <c r="V228" s="62">
        <v>0</v>
      </c>
      <c r="W228" s="62">
        <v>100000</v>
      </c>
    </row>
    <row r="229" spans="1:23" ht="24" customHeight="1">
      <c r="A229" s="60" t="s">
        <v>267</v>
      </c>
      <c r="B229" s="61" t="s">
        <v>521</v>
      </c>
      <c r="C229" s="62">
        <f t="shared" si="8"/>
        <v>2700000</v>
      </c>
      <c r="D229" s="62">
        <v>0</v>
      </c>
      <c r="E229" s="62">
        <v>0</v>
      </c>
      <c r="F229" s="62">
        <v>0</v>
      </c>
      <c r="G229" s="62">
        <v>980000</v>
      </c>
      <c r="H229" s="62">
        <v>420000</v>
      </c>
      <c r="I229" s="62">
        <v>0</v>
      </c>
      <c r="J229" s="62">
        <v>0</v>
      </c>
      <c r="K229" s="62">
        <v>0</v>
      </c>
      <c r="L229" s="62">
        <v>800</v>
      </c>
      <c r="M229" s="62">
        <v>1200000</v>
      </c>
      <c r="N229" s="62">
        <v>0</v>
      </c>
      <c r="O229" s="62">
        <v>0</v>
      </c>
      <c r="P229" s="62">
        <v>0</v>
      </c>
      <c r="Q229" s="62">
        <v>0</v>
      </c>
      <c r="R229" s="62">
        <v>0</v>
      </c>
      <c r="S229" s="62">
        <v>0</v>
      </c>
      <c r="T229" s="62">
        <v>0</v>
      </c>
      <c r="U229" s="62">
        <v>0</v>
      </c>
      <c r="V229" s="62">
        <v>0</v>
      </c>
      <c r="W229" s="62">
        <v>100000</v>
      </c>
    </row>
    <row r="230" spans="1:23" ht="24" customHeight="1">
      <c r="A230" s="60" t="s">
        <v>268</v>
      </c>
      <c r="B230" s="61" t="s">
        <v>522</v>
      </c>
      <c r="C230" s="62">
        <f t="shared" si="8"/>
        <v>700000</v>
      </c>
      <c r="D230" s="62">
        <v>0</v>
      </c>
      <c r="E230" s="62">
        <v>0</v>
      </c>
      <c r="F230" s="62">
        <v>0</v>
      </c>
      <c r="G230" s="62">
        <v>350000</v>
      </c>
      <c r="H230" s="62">
        <v>350000</v>
      </c>
      <c r="I230" s="62">
        <v>0</v>
      </c>
      <c r="J230" s="62">
        <v>0</v>
      </c>
      <c r="K230" s="62">
        <v>0</v>
      </c>
      <c r="L230" s="62">
        <v>0</v>
      </c>
      <c r="M230" s="62">
        <v>0</v>
      </c>
      <c r="N230" s="62">
        <v>0</v>
      </c>
      <c r="O230" s="62">
        <v>0</v>
      </c>
      <c r="P230" s="62">
        <v>0</v>
      </c>
      <c r="Q230" s="62">
        <v>0</v>
      </c>
      <c r="R230" s="62">
        <v>0</v>
      </c>
      <c r="S230" s="62">
        <v>0</v>
      </c>
      <c r="T230" s="62">
        <v>0</v>
      </c>
      <c r="U230" s="62">
        <v>0</v>
      </c>
      <c r="V230" s="62">
        <v>0</v>
      </c>
      <c r="W230" s="62">
        <v>0</v>
      </c>
    </row>
    <row r="231" spans="1:23" ht="24" customHeight="1">
      <c r="A231" s="60" t="s">
        <v>269</v>
      </c>
      <c r="B231" s="61" t="s">
        <v>523</v>
      </c>
      <c r="C231" s="62">
        <f aca="true" t="shared" si="9" ref="C231:C258">D231+E231+F231+G231+H231+I231+K231+M231+O231+Q231+R231+T231+U231+V231+W231</f>
        <v>1531775</v>
      </c>
      <c r="D231" s="62">
        <v>0</v>
      </c>
      <c r="E231" s="62">
        <v>0</v>
      </c>
      <c r="F231" s="62">
        <v>0</v>
      </c>
      <c r="G231" s="62">
        <v>0</v>
      </c>
      <c r="H231" s="62">
        <v>1431775</v>
      </c>
      <c r="I231" s="62">
        <v>0</v>
      </c>
      <c r="J231" s="62">
        <v>0</v>
      </c>
      <c r="K231" s="62">
        <v>0</v>
      </c>
      <c r="L231" s="62">
        <v>0</v>
      </c>
      <c r="M231" s="62">
        <v>0</v>
      </c>
      <c r="N231" s="62">
        <v>0</v>
      </c>
      <c r="O231" s="62">
        <v>0</v>
      </c>
      <c r="P231" s="62">
        <v>0</v>
      </c>
      <c r="Q231" s="62">
        <v>0</v>
      </c>
      <c r="R231" s="62">
        <v>0</v>
      </c>
      <c r="S231" s="62">
        <v>0</v>
      </c>
      <c r="T231" s="62">
        <v>0</v>
      </c>
      <c r="U231" s="62">
        <v>0</v>
      </c>
      <c r="V231" s="62">
        <v>0</v>
      </c>
      <c r="W231" s="62">
        <v>100000</v>
      </c>
    </row>
    <row r="232" spans="1:23" ht="24" customHeight="1">
      <c r="A232" s="60" t="s">
        <v>270</v>
      </c>
      <c r="B232" s="61" t="s">
        <v>524</v>
      </c>
      <c r="C232" s="62">
        <f t="shared" si="9"/>
        <v>7530900</v>
      </c>
      <c r="D232" s="62">
        <v>0</v>
      </c>
      <c r="E232" s="62">
        <v>0</v>
      </c>
      <c r="F232" s="62">
        <v>0</v>
      </c>
      <c r="G232" s="62">
        <v>3070550</v>
      </c>
      <c r="H232" s="62">
        <v>880600</v>
      </c>
      <c r="I232" s="62">
        <v>0</v>
      </c>
      <c r="J232" s="62">
        <v>0</v>
      </c>
      <c r="K232" s="62">
        <v>0</v>
      </c>
      <c r="L232" s="62">
        <v>1935</v>
      </c>
      <c r="M232" s="62">
        <v>3579750</v>
      </c>
      <c r="N232" s="62">
        <v>0</v>
      </c>
      <c r="O232" s="62">
        <v>0</v>
      </c>
      <c r="P232" s="62">
        <v>0</v>
      </c>
      <c r="Q232" s="62">
        <v>0</v>
      </c>
      <c r="R232" s="62">
        <v>0</v>
      </c>
      <c r="S232" s="62">
        <v>0</v>
      </c>
      <c r="T232" s="62">
        <v>0</v>
      </c>
      <c r="U232" s="62">
        <v>0</v>
      </c>
      <c r="V232" s="62">
        <v>0</v>
      </c>
      <c r="W232" s="62">
        <v>0</v>
      </c>
    </row>
    <row r="233" spans="1:23" ht="24" customHeight="1">
      <c r="A233" s="60" t="s">
        <v>271</v>
      </c>
      <c r="B233" s="61" t="s">
        <v>525</v>
      </c>
      <c r="C233" s="62">
        <f t="shared" si="9"/>
        <v>2220100</v>
      </c>
      <c r="D233" s="62">
        <v>0</v>
      </c>
      <c r="E233" s="62">
        <v>0</v>
      </c>
      <c r="F233" s="62">
        <v>0</v>
      </c>
      <c r="G233" s="62">
        <v>0</v>
      </c>
      <c r="H233" s="62">
        <v>0</v>
      </c>
      <c r="I233" s="62">
        <v>0</v>
      </c>
      <c r="J233" s="62">
        <v>0</v>
      </c>
      <c r="K233" s="62">
        <v>0</v>
      </c>
      <c r="L233" s="62">
        <v>1146</v>
      </c>
      <c r="M233" s="62">
        <v>2120100</v>
      </c>
      <c r="N233" s="62">
        <v>0</v>
      </c>
      <c r="O233" s="62">
        <v>0</v>
      </c>
      <c r="P233" s="62">
        <v>0</v>
      </c>
      <c r="Q233" s="62">
        <v>0</v>
      </c>
      <c r="R233" s="62">
        <v>0</v>
      </c>
      <c r="S233" s="62">
        <v>0</v>
      </c>
      <c r="T233" s="62">
        <v>0</v>
      </c>
      <c r="U233" s="62">
        <v>0</v>
      </c>
      <c r="V233" s="62">
        <v>0</v>
      </c>
      <c r="W233" s="62">
        <v>100000</v>
      </c>
    </row>
    <row r="234" spans="1:23" ht="24" customHeight="1">
      <c r="A234" s="60" t="s">
        <v>272</v>
      </c>
      <c r="B234" s="61" t="s">
        <v>526</v>
      </c>
      <c r="C234" s="62">
        <f t="shared" si="9"/>
        <v>2916350</v>
      </c>
      <c r="D234" s="62">
        <v>0</v>
      </c>
      <c r="E234" s="62">
        <v>0</v>
      </c>
      <c r="F234" s="62">
        <v>0</v>
      </c>
      <c r="G234" s="62">
        <v>694400</v>
      </c>
      <c r="H234" s="62">
        <v>355200</v>
      </c>
      <c r="I234" s="62">
        <v>0</v>
      </c>
      <c r="J234" s="62">
        <v>0</v>
      </c>
      <c r="K234" s="62">
        <v>0</v>
      </c>
      <c r="L234" s="62">
        <v>955</v>
      </c>
      <c r="M234" s="62">
        <v>1766750</v>
      </c>
      <c r="N234" s="62">
        <v>0</v>
      </c>
      <c r="O234" s="62">
        <v>0</v>
      </c>
      <c r="P234" s="62">
        <v>0</v>
      </c>
      <c r="Q234" s="62">
        <v>0</v>
      </c>
      <c r="R234" s="62">
        <v>0</v>
      </c>
      <c r="S234" s="62">
        <v>0</v>
      </c>
      <c r="T234" s="62">
        <v>0</v>
      </c>
      <c r="U234" s="62">
        <v>0</v>
      </c>
      <c r="V234" s="62">
        <v>0</v>
      </c>
      <c r="W234" s="62">
        <v>100000</v>
      </c>
    </row>
    <row r="235" spans="1:23" ht="24" customHeight="1">
      <c r="A235" s="60" t="s">
        <v>273</v>
      </c>
      <c r="B235" s="61" t="s">
        <v>527</v>
      </c>
      <c r="C235" s="62">
        <f t="shared" si="9"/>
        <v>1239260</v>
      </c>
      <c r="D235" s="62">
        <v>0</v>
      </c>
      <c r="E235" s="62">
        <v>0</v>
      </c>
      <c r="F235" s="62">
        <v>0</v>
      </c>
      <c r="G235" s="62">
        <v>895900</v>
      </c>
      <c r="H235" s="62">
        <v>343360</v>
      </c>
      <c r="I235" s="62">
        <v>0</v>
      </c>
      <c r="J235" s="62">
        <v>0</v>
      </c>
      <c r="K235" s="62">
        <v>0</v>
      </c>
      <c r="L235" s="62">
        <v>0</v>
      </c>
      <c r="M235" s="62">
        <v>0</v>
      </c>
      <c r="N235" s="62">
        <v>0</v>
      </c>
      <c r="O235" s="62">
        <v>0</v>
      </c>
      <c r="P235" s="62">
        <v>0</v>
      </c>
      <c r="Q235" s="62">
        <v>0</v>
      </c>
      <c r="R235" s="62">
        <v>0</v>
      </c>
      <c r="S235" s="62">
        <v>0</v>
      </c>
      <c r="T235" s="62">
        <v>0</v>
      </c>
      <c r="U235" s="62">
        <v>0</v>
      </c>
      <c r="V235" s="62">
        <v>0</v>
      </c>
      <c r="W235" s="62">
        <v>0</v>
      </c>
    </row>
    <row r="236" spans="1:23" ht="24" customHeight="1">
      <c r="A236" s="60" t="s">
        <v>274</v>
      </c>
      <c r="B236" s="61" t="s">
        <v>528</v>
      </c>
      <c r="C236" s="62">
        <f t="shared" si="9"/>
        <v>694460</v>
      </c>
      <c r="D236" s="62">
        <v>0</v>
      </c>
      <c r="E236" s="62">
        <v>0</v>
      </c>
      <c r="F236" s="62">
        <v>0</v>
      </c>
      <c r="G236" s="62">
        <v>251100</v>
      </c>
      <c r="H236" s="62">
        <v>343360</v>
      </c>
      <c r="I236" s="62">
        <v>0</v>
      </c>
      <c r="J236" s="62">
        <v>0</v>
      </c>
      <c r="K236" s="62">
        <v>0</v>
      </c>
      <c r="L236" s="62">
        <v>0</v>
      </c>
      <c r="M236" s="62">
        <v>0</v>
      </c>
      <c r="N236" s="62">
        <v>0</v>
      </c>
      <c r="O236" s="62">
        <v>0</v>
      </c>
      <c r="P236" s="62">
        <v>0</v>
      </c>
      <c r="Q236" s="62">
        <v>0</v>
      </c>
      <c r="R236" s="62">
        <v>0</v>
      </c>
      <c r="S236" s="62">
        <v>0</v>
      </c>
      <c r="T236" s="62">
        <v>0</v>
      </c>
      <c r="U236" s="62">
        <v>0</v>
      </c>
      <c r="V236" s="62">
        <v>0</v>
      </c>
      <c r="W236" s="62">
        <v>100000</v>
      </c>
    </row>
    <row r="237" spans="1:23" ht="24" customHeight="1">
      <c r="A237" s="60" t="s">
        <v>275</v>
      </c>
      <c r="B237" s="61" t="s">
        <v>529</v>
      </c>
      <c r="C237" s="62">
        <f t="shared" si="9"/>
        <v>2220100</v>
      </c>
      <c r="D237" s="62">
        <v>0</v>
      </c>
      <c r="E237" s="62">
        <v>0</v>
      </c>
      <c r="F237" s="62">
        <v>0</v>
      </c>
      <c r="G237" s="62">
        <v>0</v>
      </c>
      <c r="H237" s="62">
        <v>0</v>
      </c>
      <c r="I237" s="62">
        <v>0</v>
      </c>
      <c r="J237" s="62">
        <v>0</v>
      </c>
      <c r="K237" s="62">
        <v>0</v>
      </c>
      <c r="L237" s="62">
        <v>1146</v>
      </c>
      <c r="M237" s="62">
        <v>2120100</v>
      </c>
      <c r="N237" s="62">
        <v>0</v>
      </c>
      <c r="O237" s="62">
        <v>0</v>
      </c>
      <c r="P237" s="62">
        <v>0</v>
      </c>
      <c r="Q237" s="62">
        <v>0</v>
      </c>
      <c r="R237" s="62">
        <v>0</v>
      </c>
      <c r="S237" s="62">
        <v>0</v>
      </c>
      <c r="T237" s="62">
        <v>0</v>
      </c>
      <c r="U237" s="62">
        <v>0</v>
      </c>
      <c r="V237" s="62">
        <v>0</v>
      </c>
      <c r="W237" s="62">
        <v>100000</v>
      </c>
    </row>
    <row r="238" spans="1:23" ht="24" customHeight="1">
      <c r="A238" s="60" t="s">
        <v>276</v>
      </c>
      <c r="B238" s="61" t="s">
        <v>530</v>
      </c>
      <c r="C238" s="62">
        <f t="shared" si="9"/>
        <v>3867720</v>
      </c>
      <c r="D238" s="62">
        <v>0</v>
      </c>
      <c r="E238" s="62">
        <v>0</v>
      </c>
      <c r="F238" s="62">
        <v>0</v>
      </c>
      <c r="G238" s="62">
        <v>2566800</v>
      </c>
      <c r="H238" s="62">
        <v>1300920</v>
      </c>
      <c r="I238" s="62">
        <v>0</v>
      </c>
      <c r="J238" s="62">
        <v>0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0</v>
      </c>
      <c r="Q238" s="62">
        <v>0</v>
      </c>
      <c r="R238" s="62">
        <v>0</v>
      </c>
      <c r="S238" s="62">
        <v>0</v>
      </c>
      <c r="T238" s="62">
        <v>0</v>
      </c>
      <c r="U238" s="62">
        <v>0</v>
      </c>
      <c r="V238" s="62">
        <v>0</v>
      </c>
      <c r="W238" s="62">
        <v>0</v>
      </c>
    </row>
    <row r="239" spans="1:23" ht="24" customHeight="1">
      <c r="A239" s="60" t="s">
        <v>277</v>
      </c>
      <c r="B239" s="61" t="s">
        <v>531</v>
      </c>
      <c r="C239" s="62">
        <f t="shared" si="9"/>
        <v>2130960</v>
      </c>
      <c r="D239" s="62">
        <v>0</v>
      </c>
      <c r="E239" s="62">
        <v>0</v>
      </c>
      <c r="F239" s="62">
        <v>0</v>
      </c>
      <c r="G239" s="62">
        <v>1240000</v>
      </c>
      <c r="H239" s="62">
        <v>890960</v>
      </c>
      <c r="I239" s="62">
        <v>0</v>
      </c>
      <c r="J239" s="62">
        <v>0</v>
      </c>
      <c r="K239" s="62">
        <v>0</v>
      </c>
      <c r="L239" s="62">
        <v>0</v>
      </c>
      <c r="M239" s="62">
        <v>0</v>
      </c>
      <c r="N239" s="62">
        <v>0</v>
      </c>
      <c r="O239" s="62">
        <v>0</v>
      </c>
      <c r="P239" s="62">
        <v>0</v>
      </c>
      <c r="Q239" s="62">
        <v>0</v>
      </c>
      <c r="R239" s="62">
        <v>0</v>
      </c>
      <c r="S239" s="62">
        <v>0</v>
      </c>
      <c r="T239" s="62">
        <v>0</v>
      </c>
      <c r="U239" s="62">
        <v>0</v>
      </c>
      <c r="V239" s="62">
        <v>0</v>
      </c>
      <c r="W239" s="62">
        <v>0</v>
      </c>
    </row>
    <row r="240" spans="1:23" ht="24" customHeight="1">
      <c r="A240" s="60" t="s">
        <v>278</v>
      </c>
      <c r="B240" s="61" t="s">
        <v>532</v>
      </c>
      <c r="C240" s="62">
        <f t="shared" si="9"/>
        <v>4480160</v>
      </c>
      <c r="D240" s="62">
        <v>0</v>
      </c>
      <c r="E240" s="62">
        <v>0</v>
      </c>
      <c r="F240" s="62">
        <v>0</v>
      </c>
      <c r="G240" s="62">
        <v>2790000</v>
      </c>
      <c r="H240" s="62">
        <v>1690160</v>
      </c>
      <c r="I240" s="62">
        <v>0</v>
      </c>
      <c r="J240" s="62">
        <v>0</v>
      </c>
      <c r="K240" s="62">
        <v>0</v>
      </c>
      <c r="L240" s="62">
        <v>0</v>
      </c>
      <c r="M240" s="62">
        <v>0</v>
      </c>
      <c r="N240" s="62">
        <v>0</v>
      </c>
      <c r="O240" s="62">
        <v>0</v>
      </c>
      <c r="P240" s="62">
        <v>0</v>
      </c>
      <c r="Q240" s="62">
        <v>0</v>
      </c>
      <c r="R240" s="62">
        <v>0</v>
      </c>
      <c r="S240" s="62">
        <v>0</v>
      </c>
      <c r="T240" s="62">
        <v>0</v>
      </c>
      <c r="U240" s="62">
        <v>0</v>
      </c>
      <c r="V240" s="62">
        <v>0</v>
      </c>
      <c r="W240" s="62">
        <v>0</v>
      </c>
    </row>
    <row r="241" spans="1:23" ht="24" customHeight="1">
      <c r="A241" s="60" t="s">
        <v>279</v>
      </c>
      <c r="B241" s="61" t="s">
        <v>533</v>
      </c>
      <c r="C241" s="62">
        <f t="shared" si="9"/>
        <v>950000</v>
      </c>
      <c r="D241" s="62">
        <v>0</v>
      </c>
      <c r="E241" s="62">
        <v>0</v>
      </c>
      <c r="F241" s="62">
        <v>0</v>
      </c>
      <c r="G241" s="62">
        <v>0</v>
      </c>
      <c r="H241" s="62">
        <v>0</v>
      </c>
      <c r="I241" s="62">
        <v>0</v>
      </c>
      <c r="J241" s="62">
        <v>0</v>
      </c>
      <c r="K241" s="62">
        <v>0</v>
      </c>
      <c r="L241" s="62">
        <v>550</v>
      </c>
      <c r="M241" s="62">
        <v>850000</v>
      </c>
      <c r="N241" s="62">
        <v>0</v>
      </c>
      <c r="O241" s="62">
        <v>0</v>
      </c>
      <c r="P241" s="62">
        <v>0</v>
      </c>
      <c r="Q241" s="62">
        <v>0</v>
      </c>
      <c r="R241" s="62">
        <v>0</v>
      </c>
      <c r="S241" s="62">
        <v>0</v>
      </c>
      <c r="T241" s="62">
        <v>0</v>
      </c>
      <c r="U241" s="62">
        <v>0</v>
      </c>
      <c r="V241" s="62">
        <v>0</v>
      </c>
      <c r="W241" s="62">
        <v>100000</v>
      </c>
    </row>
    <row r="242" spans="1:23" ht="24" customHeight="1">
      <c r="A242" s="60" t="s">
        <v>280</v>
      </c>
      <c r="B242" s="61" t="s">
        <v>534</v>
      </c>
      <c r="C242" s="62">
        <f t="shared" si="9"/>
        <v>2528846</v>
      </c>
      <c r="D242" s="62">
        <v>0</v>
      </c>
      <c r="E242" s="62">
        <v>0</v>
      </c>
      <c r="F242" s="62">
        <v>0</v>
      </c>
      <c r="G242" s="62">
        <v>0</v>
      </c>
      <c r="H242" s="62">
        <v>2428846</v>
      </c>
      <c r="I242" s="62">
        <v>0</v>
      </c>
      <c r="J242" s="62">
        <v>0</v>
      </c>
      <c r="K242" s="62">
        <v>0</v>
      </c>
      <c r="L242" s="62">
        <v>0</v>
      </c>
      <c r="M242" s="62">
        <v>0</v>
      </c>
      <c r="N242" s="62">
        <v>0</v>
      </c>
      <c r="O242" s="62">
        <v>0</v>
      </c>
      <c r="P242" s="62">
        <v>0</v>
      </c>
      <c r="Q242" s="62">
        <v>0</v>
      </c>
      <c r="R242" s="62">
        <v>0</v>
      </c>
      <c r="S242" s="62">
        <v>0</v>
      </c>
      <c r="T242" s="62">
        <v>0</v>
      </c>
      <c r="U242" s="62">
        <v>0</v>
      </c>
      <c r="V242" s="62">
        <v>0</v>
      </c>
      <c r="W242" s="62">
        <v>100000</v>
      </c>
    </row>
    <row r="243" spans="1:23" ht="24" customHeight="1">
      <c r="A243" s="60" t="s">
        <v>281</v>
      </c>
      <c r="B243" s="61" t="s">
        <v>535</v>
      </c>
      <c r="C243" s="62">
        <f t="shared" si="9"/>
        <v>1000000</v>
      </c>
      <c r="D243" s="62">
        <v>0</v>
      </c>
      <c r="E243" s="62">
        <v>900000</v>
      </c>
      <c r="F243" s="62">
        <v>0</v>
      </c>
      <c r="G243" s="62">
        <v>0</v>
      </c>
      <c r="H243" s="62">
        <v>0</v>
      </c>
      <c r="I243" s="62">
        <v>0</v>
      </c>
      <c r="J243" s="62">
        <v>0</v>
      </c>
      <c r="K243" s="62">
        <v>0</v>
      </c>
      <c r="L243" s="62">
        <v>0</v>
      </c>
      <c r="M243" s="62">
        <v>0</v>
      </c>
      <c r="N243" s="62">
        <v>0</v>
      </c>
      <c r="O243" s="62">
        <v>0</v>
      </c>
      <c r="P243" s="62">
        <v>0</v>
      </c>
      <c r="Q243" s="62">
        <v>0</v>
      </c>
      <c r="R243" s="62">
        <v>0</v>
      </c>
      <c r="S243" s="62">
        <v>0</v>
      </c>
      <c r="T243" s="62">
        <v>0</v>
      </c>
      <c r="U243" s="62">
        <v>0</v>
      </c>
      <c r="V243" s="62">
        <v>0</v>
      </c>
      <c r="W243" s="62">
        <v>100000</v>
      </c>
    </row>
    <row r="244" spans="1:23" ht="24" customHeight="1">
      <c r="A244" s="60" t="s">
        <v>282</v>
      </c>
      <c r="B244" s="61" t="s">
        <v>536</v>
      </c>
      <c r="C244" s="62">
        <f t="shared" si="9"/>
        <v>900000</v>
      </c>
      <c r="D244" s="62">
        <v>0</v>
      </c>
      <c r="E244" s="62">
        <v>0</v>
      </c>
      <c r="F244" s="62">
        <v>0</v>
      </c>
      <c r="G244" s="62">
        <v>450000</v>
      </c>
      <c r="H244" s="62">
        <v>450000</v>
      </c>
      <c r="I244" s="62">
        <v>0</v>
      </c>
      <c r="J244" s="62">
        <v>0</v>
      </c>
      <c r="K244" s="62">
        <v>0</v>
      </c>
      <c r="L244" s="62">
        <v>0</v>
      </c>
      <c r="M244" s="62">
        <v>0</v>
      </c>
      <c r="N244" s="62">
        <v>0</v>
      </c>
      <c r="O244" s="62">
        <v>0</v>
      </c>
      <c r="P244" s="62">
        <v>0</v>
      </c>
      <c r="Q244" s="62">
        <v>0</v>
      </c>
      <c r="R244" s="62">
        <v>0</v>
      </c>
      <c r="S244" s="62">
        <v>0</v>
      </c>
      <c r="T244" s="62">
        <v>0</v>
      </c>
      <c r="U244" s="62">
        <v>0</v>
      </c>
      <c r="V244" s="62">
        <v>0</v>
      </c>
      <c r="W244" s="62">
        <v>0</v>
      </c>
    </row>
    <row r="245" spans="1:23" ht="24" customHeight="1">
      <c r="A245" s="60" t="s">
        <v>283</v>
      </c>
      <c r="B245" s="61" t="s">
        <v>537</v>
      </c>
      <c r="C245" s="62">
        <f t="shared" si="9"/>
        <v>7616350</v>
      </c>
      <c r="D245" s="62">
        <v>0</v>
      </c>
      <c r="E245" s="62">
        <v>0</v>
      </c>
      <c r="F245" s="62">
        <v>0</v>
      </c>
      <c r="G245" s="62">
        <v>1339200</v>
      </c>
      <c r="H245" s="62">
        <v>1761200</v>
      </c>
      <c r="I245" s="62">
        <v>0</v>
      </c>
      <c r="J245" s="62">
        <v>0</v>
      </c>
      <c r="K245" s="62">
        <v>0</v>
      </c>
      <c r="L245" s="62">
        <v>2387</v>
      </c>
      <c r="M245" s="62">
        <v>4415950</v>
      </c>
      <c r="N245" s="62">
        <v>0</v>
      </c>
      <c r="O245" s="62">
        <v>0</v>
      </c>
      <c r="P245" s="62">
        <v>0</v>
      </c>
      <c r="Q245" s="62">
        <v>0</v>
      </c>
      <c r="R245" s="62">
        <v>0</v>
      </c>
      <c r="S245" s="62">
        <v>0</v>
      </c>
      <c r="T245" s="62">
        <v>0</v>
      </c>
      <c r="U245" s="62">
        <v>0</v>
      </c>
      <c r="V245" s="62">
        <v>0</v>
      </c>
      <c r="W245" s="62">
        <v>100000</v>
      </c>
    </row>
    <row r="246" spans="1:23" ht="24" customHeight="1">
      <c r="A246" s="60" t="s">
        <v>284</v>
      </c>
      <c r="B246" s="61" t="s">
        <v>538</v>
      </c>
      <c r="C246" s="62">
        <f t="shared" si="9"/>
        <v>62489.04</v>
      </c>
      <c r="D246" s="62">
        <v>0</v>
      </c>
      <c r="E246" s="62">
        <v>0</v>
      </c>
      <c r="F246" s="62">
        <v>0</v>
      </c>
      <c r="G246" s="62">
        <v>0</v>
      </c>
      <c r="H246" s="62">
        <v>0</v>
      </c>
      <c r="I246" s="62">
        <v>0</v>
      </c>
      <c r="J246" s="62">
        <v>0</v>
      </c>
      <c r="K246" s="62">
        <v>0</v>
      </c>
      <c r="L246" s="62">
        <v>0</v>
      </c>
      <c r="M246" s="62">
        <v>0</v>
      </c>
      <c r="N246" s="62">
        <v>0</v>
      </c>
      <c r="O246" s="62">
        <v>0</v>
      </c>
      <c r="P246" s="62">
        <v>0</v>
      </c>
      <c r="Q246" s="62">
        <v>0</v>
      </c>
      <c r="R246" s="62">
        <v>0</v>
      </c>
      <c r="S246" s="62">
        <v>0</v>
      </c>
      <c r="T246" s="62">
        <v>0</v>
      </c>
      <c r="U246" s="62">
        <v>0</v>
      </c>
      <c r="V246" s="62">
        <v>0</v>
      </c>
      <c r="W246" s="62">
        <v>62489.04</v>
      </c>
    </row>
    <row r="247" spans="1:23" ht="24" customHeight="1">
      <c r="A247" s="60" t="s">
        <v>285</v>
      </c>
      <c r="B247" s="61" t="s">
        <v>539</v>
      </c>
      <c r="C247" s="62">
        <f t="shared" si="9"/>
        <v>39003.01</v>
      </c>
      <c r="D247" s="62">
        <v>0</v>
      </c>
      <c r="E247" s="62">
        <v>0</v>
      </c>
      <c r="F247" s="62">
        <v>0</v>
      </c>
      <c r="G247" s="62">
        <v>0</v>
      </c>
      <c r="H247" s="62">
        <v>0</v>
      </c>
      <c r="I247" s="62">
        <v>0</v>
      </c>
      <c r="J247" s="62">
        <v>0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v>0</v>
      </c>
      <c r="Q247" s="62">
        <v>0</v>
      </c>
      <c r="R247" s="62">
        <v>0</v>
      </c>
      <c r="S247" s="62">
        <v>0</v>
      </c>
      <c r="T247" s="62">
        <v>0</v>
      </c>
      <c r="U247" s="62">
        <v>0</v>
      </c>
      <c r="V247" s="62">
        <v>0</v>
      </c>
      <c r="W247" s="62">
        <v>39003.01</v>
      </c>
    </row>
    <row r="248" spans="1:23" ht="24" customHeight="1">
      <c r="A248" s="60" t="s">
        <v>286</v>
      </c>
      <c r="B248" s="61" t="s">
        <v>540</v>
      </c>
      <c r="C248" s="62">
        <f t="shared" si="9"/>
        <v>550000</v>
      </c>
      <c r="D248" s="62">
        <v>0</v>
      </c>
      <c r="E248" s="62">
        <v>0</v>
      </c>
      <c r="F248" s="62">
        <v>0</v>
      </c>
      <c r="G248" s="62">
        <v>0</v>
      </c>
      <c r="H248" s="62">
        <v>450000</v>
      </c>
      <c r="I248" s="62">
        <v>0</v>
      </c>
      <c r="J248" s="62">
        <v>0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0</v>
      </c>
      <c r="Q248" s="62">
        <v>0</v>
      </c>
      <c r="R248" s="62">
        <v>0</v>
      </c>
      <c r="S248" s="62">
        <v>0</v>
      </c>
      <c r="T248" s="62">
        <v>0</v>
      </c>
      <c r="U248" s="62">
        <v>0</v>
      </c>
      <c r="V248" s="62">
        <v>0</v>
      </c>
      <c r="W248" s="62">
        <v>100000</v>
      </c>
    </row>
    <row r="249" spans="1:23" ht="24" customHeight="1">
      <c r="A249" s="60" t="s">
        <v>287</v>
      </c>
      <c r="B249" s="61" t="s">
        <v>541</v>
      </c>
      <c r="C249" s="62">
        <f t="shared" si="9"/>
        <v>1000000</v>
      </c>
      <c r="D249" s="62">
        <v>0</v>
      </c>
      <c r="E249" s="62">
        <v>0</v>
      </c>
      <c r="F249" s="62">
        <v>0</v>
      </c>
      <c r="G249" s="62">
        <v>450000</v>
      </c>
      <c r="H249" s="62">
        <v>450000</v>
      </c>
      <c r="I249" s="62">
        <v>0</v>
      </c>
      <c r="J249" s="62">
        <v>0</v>
      </c>
      <c r="K249" s="62">
        <v>0</v>
      </c>
      <c r="L249" s="62">
        <v>0</v>
      </c>
      <c r="M249" s="62">
        <v>0</v>
      </c>
      <c r="N249" s="62">
        <v>0</v>
      </c>
      <c r="O249" s="62">
        <v>0</v>
      </c>
      <c r="P249" s="62">
        <v>0</v>
      </c>
      <c r="Q249" s="62">
        <v>0</v>
      </c>
      <c r="R249" s="62">
        <v>0</v>
      </c>
      <c r="S249" s="62">
        <v>0</v>
      </c>
      <c r="T249" s="62">
        <v>0</v>
      </c>
      <c r="U249" s="62">
        <v>0</v>
      </c>
      <c r="V249" s="62">
        <v>0</v>
      </c>
      <c r="W249" s="62">
        <v>100000</v>
      </c>
    </row>
    <row r="250" spans="1:23" ht="24" customHeight="1">
      <c r="A250" s="60" t="s">
        <v>288</v>
      </c>
      <c r="B250" s="61" t="s">
        <v>542</v>
      </c>
      <c r="C250" s="62">
        <f t="shared" si="9"/>
        <v>1000000</v>
      </c>
      <c r="D250" s="62">
        <v>0</v>
      </c>
      <c r="E250" s="62">
        <v>0</v>
      </c>
      <c r="F250" s="62">
        <v>0</v>
      </c>
      <c r="G250" s="62">
        <v>450000</v>
      </c>
      <c r="H250" s="62">
        <v>450000</v>
      </c>
      <c r="I250" s="62">
        <v>0</v>
      </c>
      <c r="J250" s="62">
        <v>0</v>
      </c>
      <c r="K250" s="62">
        <v>0</v>
      </c>
      <c r="L250" s="62">
        <v>0</v>
      </c>
      <c r="M250" s="62">
        <v>0</v>
      </c>
      <c r="N250" s="62">
        <v>0</v>
      </c>
      <c r="O250" s="62">
        <v>0</v>
      </c>
      <c r="P250" s="62">
        <v>0</v>
      </c>
      <c r="Q250" s="62">
        <v>0</v>
      </c>
      <c r="R250" s="62">
        <v>0</v>
      </c>
      <c r="S250" s="62">
        <v>0</v>
      </c>
      <c r="T250" s="62">
        <v>0</v>
      </c>
      <c r="U250" s="62">
        <v>0</v>
      </c>
      <c r="V250" s="62">
        <v>0</v>
      </c>
      <c r="W250" s="62">
        <v>100000</v>
      </c>
    </row>
    <row r="251" spans="1:23" ht="24" customHeight="1">
      <c r="A251" s="60" t="s">
        <v>289</v>
      </c>
      <c r="B251" s="61" t="s">
        <v>543</v>
      </c>
      <c r="C251" s="62">
        <f t="shared" si="9"/>
        <v>550000</v>
      </c>
      <c r="D251" s="62">
        <v>0</v>
      </c>
      <c r="E251" s="62">
        <v>0</v>
      </c>
      <c r="F251" s="62">
        <v>0</v>
      </c>
      <c r="G251" s="62">
        <v>0</v>
      </c>
      <c r="H251" s="62">
        <v>450000</v>
      </c>
      <c r="I251" s="62">
        <v>0</v>
      </c>
      <c r="J251" s="62">
        <v>0</v>
      </c>
      <c r="K251" s="62">
        <v>0</v>
      </c>
      <c r="L251" s="62">
        <v>0</v>
      </c>
      <c r="M251" s="62">
        <v>0</v>
      </c>
      <c r="N251" s="62">
        <v>0</v>
      </c>
      <c r="O251" s="62">
        <v>0</v>
      </c>
      <c r="P251" s="62">
        <v>0</v>
      </c>
      <c r="Q251" s="62">
        <v>0</v>
      </c>
      <c r="R251" s="62">
        <v>0</v>
      </c>
      <c r="S251" s="62">
        <v>0</v>
      </c>
      <c r="T251" s="62">
        <v>0</v>
      </c>
      <c r="U251" s="62">
        <v>0</v>
      </c>
      <c r="V251" s="62">
        <v>0</v>
      </c>
      <c r="W251" s="62">
        <v>100000</v>
      </c>
    </row>
    <row r="252" spans="1:23" ht="24" customHeight="1">
      <c r="A252" s="60" t="s">
        <v>290</v>
      </c>
      <c r="B252" s="61" t="s">
        <v>544</v>
      </c>
      <c r="C252" s="62">
        <f t="shared" si="9"/>
        <v>800000</v>
      </c>
      <c r="D252" s="62">
        <v>0</v>
      </c>
      <c r="E252" s="62">
        <v>0</v>
      </c>
      <c r="F252" s="62">
        <v>0</v>
      </c>
      <c r="G252" s="62">
        <v>0</v>
      </c>
      <c r="H252" s="62">
        <v>0</v>
      </c>
      <c r="I252" s="62">
        <v>0</v>
      </c>
      <c r="J252" s="62">
        <v>0</v>
      </c>
      <c r="K252" s="62">
        <v>0</v>
      </c>
      <c r="L252" s="62">
        <v>450</v>
      </c>
      <c r="M252" s="62">
        <v>700000</v>
      </c>
      <c r="N252" s="62">
        <v>0</v>
      </c>
      <c r="O252" s="62">
        <v>0</v>
      </c>
      <c r="P252" s="62">
        <v>0</v>
      </c>
      <c r="Q252" s="62">
        <v>0</v>
      </c>
      <c r="R252" s="62">
        <v>0</v>
      </c>
      <c r="S252" s="62">
        <v>0</v>
      </c>
      <c r="T252" s="62">
        <v>0</v>
      </c>
      <c r="U252" s="62">
        <v>0</v>
      </c>
      <c r="V252" s="62">
        <v>0</v>
      </c>
      <c r="W252" s="62">
        <v>100000</v>
      </c>
    </row>
    <row r="253" spans="1:23" ht="24" customHeight="1">
      <c r="A253" s="60" t="s">
        <v>291</v>
      </c>
      <c r="B253" s="61" t="s">
        <v>545</v>
      </c>
      <c r="C253" s="62">
        <f t="shared" si="9"/>
        <v>1000000</v>
      </c>
      <c r="D253" s="62">
        <v>0</v>
      </c>
      <c r="E253" s="62">
        <v>0</v>
      </c>
      <c r="F253" s="62">
        <v>0</v>
      </c>
      <c r="G253" s="62">
        <v>450000</v>
      </c>
      <c r="H253" s="62">
        <v>450000</v>
      </c>
      <c r="I253" s="62">
        <v>0</v>
      </c>
      <c r="J253" s="62">
        <v>0</v>
      </c>
      <c r="K253" s="62">
        <v>0</v>
      </c>
      <c r="L253" s="62">
        <v>0</v>
      </c>
      <c r="M253" s="62">
        <v>0</v>
      </c>
      <c r="N253" s="62">
        <v>0</v>
      </c>
      <c r="O253" s="62">
        <v>0</v>
      </c>
      <c r="P253" s="62">
        <v>0</v>
      </c>
      <c r="Q253" s="62">
        <v>0</v>
      </c>
      <c r="R253" s="62">
        <v>0</v>
      </c>
      <c r="S253" s="62">
        <v>0</v>
      </c>
      <c r="T253" s="62">
        <v>0</v>
      </c>
      <c r="U253" s="62">
        <v>0</v>
      </c>
      <c r="V253" s="62">
        <v>0</v>
      </c>
      <c r="W253" s="62">
        <v>100000</v>
      </c>
    </row>
    <row r="254" spans="1:23" ht="24" customHeight="1">
      <c r="A254" s="60" t="s">
        <v>292</v>
      </c>
      <c r="B254" s="61" t="s">
        <v>546</v>
      </c>
      <c r="C254" s="62">
        <f t="shared" si="9"/>
        <v>450000</v>
      </c>
      <c r="D254" s="62">
        <v>0</v>
      </c>
      <c r="E254" s="62">
        <v>0</v>
      </c>
      <c r="F254" s="62">
        <v>0</v>
      </c>
      <c r="G254" s="62">
        <v>350000</v>
      </c>
      <c r="H254" s="62">
        <v>0</v>
      </c>
      <c r="I254" s="62">
        <v>0</v>
      </c>
      <c r="J254" s="62">
        <v>0</v>
      </c>
      <c r="K254" s="62">
        <v>0</v>
      </c>
      <c r="L254" s="62">
        <v>0</v>
      </c>
      <c r="M254" s="62">
        <v>0</v>
      </c>
      <c r="N254" s="62">
        <v>0</v>
      </c>
      <c r="O254" s="62">
        <v>0</v>
      </c>
      <c r="P254" s="62">
        <v>0</v>
      </c>
      <c r="Q254" s="62">
        <v>0</v>
      </c>
      <c r="R254" s="62">
        <v>0</v>
      </c>
      <c r="S254" s="62">
        <v>0</v>
      </c>
      <c r="T254" s="62">
        <v>0</v>
      </c>
      <c r="U254" s="62">
        <v>0</v>
      </c>
      <c r="V254" s="62">
        <v>0</v>
      </c>
      <c r="W254" s="62">
        <v>100000</v>
      </c>
    </row>
    <row r="255" spans="1:23" ht="24" customHeight="1">
      <c r="A255" s="60" t="s">
        <v>293</v>
      </c>
      <c r="B255" s="61" t="s">
        <v>547</v>
      </c>
      <c r="C255" s="62">
        <f t="shared" si="9"/>
        <v>2892820</v>
      </c>
      <c r="D255" s="62">
        <v>0</v>
      </c>
      <c r="E255" s="62">
        <v>0</v>
      </c>
      <c r="F255" s="62">
        <v>0</v>
      </c>
      <c r="G255" s="62">
        <v>553520</v>
      </c>
      <c r="H255" s="62">
        <v>592100</v>
      </c>
      <c r="I255" s="62">
        <v>0</v>
      </c>
      <c r="J255" s="62">
        <v>0</v>
      </c>
      <c r="K255" s="62">
        <v>0</v>
      </c>
      <c r="L255" s="62">
        <v>1344</v>
      </c>
      <c r="M255" s="62">
        <v>1747200</v>
      </c>
      <c r="N255" s="62">
        <v>0</v>
      </c>
      <c r="O255" s="62">
        <v>0</v>
      </c>
      <c r="P255" s="62">
        <v>0</v>
      </c>
      <c r="Q255" s="62">
        <v>0</v>
      </c>
      <c r="R255" s="62">
        <v>0</v>
      </c>
      <c r="S255" s="62">
        <v>0</v>
      </c>
      <c r="T255" s="62">
        <v>0</v>
      </c>
      <c r="U255" s="62">
        <v>0</v>
      </c>
      <c r="V255" s="62">
        <v>0</v>
      </c>
      <c r="W255" s="62">
        <v>0</v>
      </c>
    </row>
    <row r="256" spans="1:23" ht="24" customHeight="1">
      <c r="A256" s="60" t="s">
        <v>294</v>
      </c>
      <c r="B256" s="61" t="s">
        <v>548</v>
      </c>
      <c r="C256" s="62">
        <f t="shared" si="9"/>
        <v>1000000</v>
      </c>
      <c r="D256" s="62">
        <v>0</v>
      </c>
      <c r="E256" s="62">
        <v>0</v>
      </c>
      <c r="F256" s="62">
        <v>0</v>
      </c>
      <c r="G256" s="62">
        <v>450000</v>
      </c>
      <c r="H256" s="62">
        <v>450000</v>
      </c>
      <c r="I256" s="62">
        <v>0</v>
      </c>
      <c r="J256" s="62">
        <v>0</v>
      </c>
      <c r="K256" s="62">
        <v>0</v>
      </c>
      <c r="L256" s="62">
        <v>0</v>
      </c>
      <c r="M256" s="62">
        <v>0</v>
      </c>
      <c r="N256" s="62">
        <v>0</v>
      </c>
      <c r="O256" s="62">
        <v>0</v>
      </c>
      <c r="P256" s="62">
        <v>0</v>
      </c>
      <c r="Q256" s="62">
        <v>0</v>
      </c>
      <c r="R256" s="62">
        <v>0</v>
      </c>
      <c r="S256" s="62">
        <v>0</v>
      </c>
      <c r="T256" s="62">
        <v>0</v>
      </c>
      <c r="U256" s="62">
        <v>0</v>
      </c>
      <c r="V256" s="62">
        <v>0</v>
      </c>
      <c r="W256" s="62">
        <v>100000</v>
      </c>
    </row>
    <row r="257" spans="1:23" ht="24" customHeight="1">
      <c r="A257" s="60" t="s">
        <v>295</v>
      </c>
      <c r="B257" s="61" t="s">
        <v>549</v>
      </c>
      <c r="C257" s="62">
        <f t="shared" si="9"/>
        <v>2621920</v>
      </c>
      <c r="D257" s="62">
        <v>0</v>
      </c>
      <c r="E257" s="62">
        <v>0</v>
      </c>
      <c r="F257" s="62">
        <v>0</v>
      </c>
      <c r="G257" s="62">
        <v>641700</v>
      </c>
      <c r="H257" s="62">
        <v>612720</v>
      </c>
      <c r="I257" s="62">
        <v>0</v>
      </c>
      <c r="J257" s="62">
        <v>0</v>
      </c>
      <c r="K257" s="62">
        <v>0</v>
      </c>
      <c r="L257" s="62">
        <v>975</v>
      </c>
      <c r="M257" s="62">
        <v>1267500</v>
      </c>
      <c r="N257" s="62">
        <v>0</v>
      </c>
      <c r="O257" s="62">
        <v>0</v>
      </c>
      <c r="P257" s="62">
        <v>0</v>
      </c>
      <c r="Q257" s="62">
        <v>0</v>
      </c>
      <c r="R257" s="62">
        <v>0</v>
      </c>
      <c r="S257" s="62">
        <v>0</v>
      </c>
      <c r="T257" s="62">
        <v>0</v>
      </c>
      <c r="U257" s="62">
        <v>0</v>
      </c>
      <c r="V257" s="62">
        <v>0</v>
      </c>
      <c r="W257" s="62">
        <v>100000</v>
      </c>
    </row>
    <row r="258" spans="1:23" ht="24" customHeight="1">
      <c r="A258" s="60" t="s">
        <v>296</v>
      </c>
      <c r="B258" s="61" t="s">
        <v>550</v>
      </c>
      <c r="C258" s="62">
        <f t="shared" si="9"/>
        <v>120000</v>
      </c>
      <c r="D258" s="62">
        <v>0</v>
      </c>
      <c r="E258" s="62">
        <v>0</v>
      </c>
      <c r="F258" s="62">
        <v>0</v>
      </c>
      <c r="G258" s="62">
        <v>0</v>
      </c>
      <c r="H258" s="62">
        <v>0</v>
      </c>
      <c r="I258" s="62">
        <v>0</v>
      </c>
      <c r="J258" s="62">
        <v>0</v>
      </c>
      <c r="K258" s="62">
        <v>0</v>
      </c>
      <c r="L258" s="62">
        <v>700</v>
      </c>
      <c r="M258" s="62">
        <v>120000</v>
      </c>
      <c r="N258" s="62">
        <v>0</v>
      </c>
      <c r="O258" s="62">
        <v>0</v>
      </c>
      <c r="P258" s="62">
        <v>0</v>
      </c>
      <c r="Q258" s="62">
        <v>0</v>
      </c>
      <c r="R258" s="62">
        <v>0</v>
      </c>
      <c r="S258" s="62">
        <v>0</v>
      </c>
      <c r="T258" s="62">
        <v>0</v>
      </c>
      <c r="U258" s="62">
        <v>0</v>
      </c>
      <c r="V258" s="62">
        <v>0</v>
      </c>
      <c r="W258" s="62">
        <v>0</v>
      </c>
    </row>
    <row r="259" spans="1:23" ht="28.5" customHeight="1">
      <c r="A259" s="143" t="s">
        <v>104</v>
      </c>
      <c r="B259" s="143"/>
      <c r="C259" s="62">
        <f>SUM(C16:C258)</f>
        <v>349887504.22</v>
      </c>
      <c r="D259" s="62">
        <f aca="true" t="shared" si="10" ref="D259:W259">SUM(D16:D258)</f>
        <v>1546804</v>
      </c>
      <c r="E259" s="62">
        <f t="shared" si="10"/>
        <v>5583159</v>
      </c>
      <c r="F259" s="62">
        <f t="shared" si="10"/>
        <v>0</v>
      </c>
      <c r="G259" s="62">
        <f t="shared" si="10"/>
        <v>45968523</v>
      </c>
      <c r="H259" s="62">
        <f t="shared" si="10"/>
        <v>51287832</v>
      </c>
      <c r="I259" s="62">
        <f t="shared" si="10"/>
        <v>750000</v>
      </c>
      <c r="J259" s="63">
        <f t="shared" si="10"/>
        <v>11</v>
      </c>
      <c r="K259" s="62">
        <f t="shared" si="10"/>
        <v>19115012</v>
      </c>
      <c r="L259" s="62">
        <f t="shared" si="10"/>
        <v>105275.5</v>
      </c>
      <c r="M259" s="62">
        <f t="shared" si="10"/>
        <v>171641606.19</v>
      </c>
      <c r="N259" s="62">
        <f t="shared" si="10"/>
        <v>0</v>
      </c>
      <c r="O259" s="62">
        <f t="shared" si="10"/>
        <v>0</v>
      </c>
      <c r="P259" s="62">
        <f t="shared" si="10"/>
        <v>28674</v>
      </c>
      <c r="Q259" s="62">
        <f t="shared" si="10"/>
        <v>29205363</v>
      </c>
      <c r="R259" s="62">
        <f t="shared" si="10"/>
        <v>0</v>
      </c>
      <c r="S259" s="62">
        <f t="shared" si="10"/>
        <v>0</v>
      </c>
      <c r="T259" s="62">
        <f t="shared" si="10"/>
        <v>0</v>
      </c>
      <c r="U259" s="62">
        <f t="shared" si="10"/>
        <v>0</v>
      </c>
      <c r="V259" s="62">
        <f t="shared" si="10"/>
        <v>0</v>
      </c>
      <c r="W259" s="62">
        <f t="shared" si="10"/>
        <v>24789205.03</v>
      </c>
    </row>
    <row r="260" spans="1:23" ht="24.75" customHeight="1">
      <c r="A260" s="67"/>
      <c r="B260" s="67"/>
      <c r="C260" s="68"/>
      <c r="D260" s="68"/>
      <c r="E260" s="68"/>
      <c r="F260" s="68"/>
      <c r="G260" s="68"/>
      <c r="H260" s="68"/>
      <c r="I260" s="68"/>
      <c r="J260" s="69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</row>
    <row r="261" spans="1:23" ht="24.75" customHeight="1">
      <c r="A261" s="67"/>
      <c r="B261" s="67"/>
      <c r="C261" s="68"/>
      <c r="D261" s="68"/>
      <c r="E261" s="68"/>
      <c r="F261" s="68"/>
      <c r="G261" s="68"/>
      <c r="H261" s="68"/>
      <c r="I261" s="68"/>
      <c r="J261" s="69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</row>
    <row r="262" spans="1:23" ht="15" customHeight="1">
      <c r="A262" s="70"/>
      <c r="B262" s="70"/>
      <c r="C262" s="71"/>
      <c r="D262" s="71"/>
      <c r="E262" s="71"/>
      <c r="F262" s="71"/>
      <c r="G262" s="71"/>
      <c r="H262" s="71"/>
      <c r="I262" s="71"/>
      <c r="J262" s="72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</row>
    <row r="264" spans="1:23" ht="17.25" customHeight="1">
      <c r="A264" s="58"/>
      <c r="F264" s="73"/>
      <c r="G264" s="73"/>
      <c r="H264" s="73"/>
      <c r="I264" s="73"/>
      <c r="J264" s="56"/>
      <c r="K264" s="56"/>
      <c r="N264" s="56"/>
      <c r="V264" s="124" t="s">
        <v>202</v>
      </c>
      <c r="W264" s="124"/>
    </row>
    <row r="265" spans="1:14" ht="17.25" customHeight="1">
      <c r="A265" s="58"/>
      <c r="F265" s="73"/>
      <c r="G265" s="73"/>
      <c r="H265" s="73"/>
      <c r="I265" s="73"/>
      <c r="J265" s="56"/>
      <c r="K265" s="56"/>
      <c r="N265" s="56"/>
    </row>
    <row r="266" spans="1:23" ht="18">
      <c r="A266" s="149" t="s">
        <v>607</v>
      </c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</row>
    <row r="267" spans="1:23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s="74" customFormat="1" ht="27" customHeight="1">
      <c r="A268" s="129" t="s">
        <v>0</v>
      </c>
      <c r="B268" s="139" t="s">
        <v>203</v>
      </c>
      <c r="C268" s="150"/>
      <c r="D268" s="140"/>
      <c r="E268" s="139" t="s">
        <v>101</v>
      </c>
      <c r="F268" s="140"/>
      <c r="G268" s="139" t="s">
        <v>6</v>
      </c>
      <c r="H268" s="140"/>
      <c r="I268" s="129" t="s">
        <v>204</v>
      </c>
      <c r="J268" s="129"/>
      <c r="K268" s="129"/>
      <c r="L268" s="129"/>
      <c r="M268" s="129"/>
      <c r="N268" s="129"/>
      <c r="O268" s="129"/>
      <c r="P268" s="129" t="s">
        <v>205</v>
      </c>
      <c r="Q268" s="129"/>
      <c r="R268" s="129"/>
      <c r="S268" s="129"/>
      <c r="T268" s="129"/>
      <c r="U268" s="129"/>
      <c r="V268" s="129"/>
      <c r="W268" s="129"/>
    </row>
    <row r="269" spans="1:23" s="74" customFormat="1" ht="64.5" customHeight="1">
      <c r="A269" s="129"/>
      <c r="B269" s="151"/>
      <c r="C269" s="152"/>
      <c r="D269" s="153"/>
      <c r="E269" s="141"/>
      <c r="F269" s="142"/>
      <c r="G269" s="141"/>
      <c r="H269" s="142"/>
      <c r="I269" s="129" t="s">
        <v>206</v>
      </c>
      <c r="J269" s="129"/>
      <c r="K269" s="59" t="s">
        <v>207</v>
      </c>
      <c r="L269" s="59" t="s">
        <v>208</v>
      </c>
      <c r="M269" s="59" t="s">
        <v>209</v>
      </c>
      <c r="N269" s="129" t="s">
        <v>102</v>
      </c>
      <c r="O269" s="129"/>
      <c r="P269" s="129" t="s">
        <v>206</v>
      </c>
      <c r="Q269" s="129"/>
      <c r="R269" s="59" t="s">
        <v>207</v>
      </c>
      <c r="S269" s="129" t="s">
        <v>208</v>
      </c>
      <c r="T269" s="129"/>
      <c r="U269" s="59" t="s">
        <v>210</v>
      </c>
      <c r="V269" s="129" t="s">
        <v>102</v>
      </c>
      <c r="W269" s="129"/>
    </row>
    <row r="270" spans="1:23" s="74" customFormat="1" ht="18">
      <c r="A270" s="129"/>
      <c r="B270" s="141"/>
      <c r="C270" s="154"/>
      <c r="D270" s="142"/>
      <c r="E270" s="129" t="s">
        <v>103</v>
      </c>
      <c r="F270" s="129"/>
      <c r="G270" s="130" t="s">
        <v>12</v>
      </c>
      <c r="H270" s="130"/>
      <c r="I270" s="130" t="s">
        <v>199</v>
      </c>
      <c r="J270" s="130"/>
      <c r="K270" s="75" t="s">
        <v>199</v>
      </c>
      <c r="L270" s="75" t="s">
        <v>199</v>
      </c>
      <c r="M270" s="75" t="s">
        <v>199</v>
      </c>
      <c r="N270" s="131" t="s">
        <v>199</v>
      </c>
      <c r="O270" s="132"/>
      <c r="P270" s="131" t="s">
        <v>13</v>
      </c>
      <c r="Q270" s="132"/>
      <c r="R270" s="75" t="s">
        <v>13</v>
      </c>
      <c r="S270" s="131" t="s">
        <v>13</v>
      </c>
      <c r="T270" s="132"/>
      <c r="U270" s="75" t="s">
        <v>13</v>
      </c>
      <c r="V270" s="131" t="s">
        <v>13</v>
      </c>
      <c r="W270" s="132"/>
    </row>
    <row r="271" spans="1:23" ht="31.5" customHeight="1">
      <c r="A271" s="60" t="s">
        <v>15</v>
      </c>
      <c r="B271" s="155" t="s">
        <v>201</v>
      </c>
      <c r="C271" s="156"/>
      <c r="D271" s="157"/>
      <c r="E271" s="125">
        <f>'Таблица 1 перечень МКД'!H264</f>
        <v>861025.5799999997</v>
      </c>
      <c r="F271" s="125">
        <v>2462056.9299999997</v>
      </c>
      <c r="G271" s="126">
        <f>'Таблица 1 перечень МКД'!K264</f>
        <v>33576</v>
      </c>
      <c r="H271" s="126">
        <v>103339</v>
      </c>
      <c r="I271" s="127"/>
      <c r="J271" s="127"/>
      <c r="K271" s="60"/>
      <c r="L271" s="60"/>
      <c r="M271" s="60">
        <v>243</v>
      </c>
      <c r="N271" s="128">
        <v>243</v>
      </c>
      <c r="O271" s="128"/>
      <c r="P271" s="128"/>
      <c r="Q271" s="128"/>
      <c r="R271" s="66"/>
      <c r="S271" s="127"/>
      <c r="T271" s="127"/>
      <c r="U271" s="62">
        <f>C259</f>
        <v>349887504.22</v>
      </c>
      <c r="V271" s="125">
        <f>U271</f>
        <v>349887504.22</v>
      </c>
      <c r="W271" s="125">
        <v>1120238228.42</v>
      </c>
    </row>
    <row r="272" spans="1:23" ht="31.5" customHeight="1">
      <c r="A272" s="76"/>
      <c r="B272" s="70"/>
      <c r="C272" s="70"/>
      <c r="D272" s="70"/>
      <c r="E272" s="68"/>
      <c r="F272" s="68"/>
      <c r="G272" s="69"/>
      <c r="H272" s="69"/>
      <c r="I272" s="77"/>
      <c r="J272" s="77"/>
      <c r="K272" s="76"/>
      <c r="L272" s="76"/>
      <c r="M272" s="76"/>
      <c r="N272" s="76"/>
      <c r="O272" s="76"/>
      <c r="P272" s="76"/>
      <c r="Q272" s="76"/>
      <c r="R272" s="77"/>
      <c r="S272" s="77"/>
      <c r="T272" s="77"/>
      <c r="U272" s="68"/>
      <c r="V272" s="68"/>
      <c r="W272" s="68"/>
    </row>
    <row r="273" spans="1:23" ht="31.5" customHeight="1">
      <c r="A273" s="76"/>
      <c r="B273" s="70"/>
      <c r="C273" s="70"/>
      <c r="D273" s="70"/>
      <c r="E273" s="68"/>
      <c r="F273" s="68"/>
      <c r="G273" s="69"/>
      <c r="H273" s="69"/>
      <c r="I273" s="77"/>
      <c r="J273" s="77"/>
      <c r="K273" s="76"/>
      <c r="L273" s="76"/>
      <c r="M273" s="76"/>
      <c r="N273" s="76"/>
      <c r="O273" s="76"/>
      <c r="P273" s="76"/>
      <c r="Q273" s="76"/>
      <c r="R273" s="77"/>
      <c r="S273" s="77"/>
      <c r="T273" s="77"/>
      <c r="U273" s="68"/>
      <c r="V273" s="68"/>
      <c r="W273" s="68"/>
    </row>
    <row r="274" spans="1:14" ht="18">
      <c r="A274" s="76"/>
      <c r="B274" s="70"/>
      <c r="C274" s="71"/>
      <c r="D274" s="72"/>
      <c r="E274" s="76"/>
      <c r="F274" s="76"/>
      <c r="G274" s="76"/>
      <c r="H274" s="76"/>
      <c r="I274" s="76"/>
      <c r="J274" s="76"/>
      <c r="K274" s="76"/>
      <c r="L274" s="76"/>
      <c r="M274" s="71"/>
      <c r="N274" s="71"/>
    </row>
    <row r="275" ht="18">
      <c r="A275" s="54" t="s">
        <v>612</v>
      </c>
    </row>
    <row r="276" spans="1:23" ht="18">
      <c r="A276" s="54" t="s">
        <v>211</v>
      </c>
      <c r="V276" s="124" t="s">
        <v>608</v>
      </c>
      <c r="W276" s="124"/>
    </row>
  </sheetData>
  <sheetProtection/>
  <mergeCells count="48">
    <mergeCell ref="A266:W266"/>
    <mergeCell ref="B268:D270"/>
    <mergeCell ref="B271:D271"/>
    <mergeCell ref="D11:I11"/>
    <mergeCell ref="W11:W12"/>
    <mergeCell ref="L11:M12"/>
    <mergeCell ref="U11:U12"/>
    <mergeCell ref="V11:V12"/>
    <mergeCell ref="S11:T12"/>
    <mergeCell ref="A15:W15"/>
    <mergeCell ref="A259:B259"/>
    <mergeCell ref="V4:W4"/>
    <mergeCell ref="A7:W7"/>
    <mergeCell ref="A10:A13"/>
    <mergeCell ref="B10:B13"/>
    <mergeCell ref="C10:C12"/>
    <mergeCell ref="D10:R10"/>
    <mergeCell ref="S10:W10"/>
    <mergeCell ref="N11:O12"/>
    <mergeCell ref="P11:Q12"/>
    <mergeCell ref="R11:R12"/>
    <mergeCell ref="V264:W264"/>
    <mergeCell ref="J11:K12"/>
    <mergeCell ref="A268:A270"/>
    <mergeCell ref="E268:F269"/>
    <mergeCell ref="G268:H269"/>
    <mergeCell ref="I268:O268"/>
    <mergeCell ref="P268:W268"/>
    <mergeCell ref="I269:J269"/>
    <mergeCell ref="N269:O269"/>
    <mergeCell ref="P269:Q269"/>
    <mergeCell ref="S269:T269"/>
    <mergeCell ref="V269:W269"/>
    <mergeCell ref="E270:F270"/>
    <mergeCell ref="G270:H270"/>
    <mergeCell ref="I270:J270"/>
    <mergeCell ref="N270:O270"/>
    <mergeCell ref="P270:Q270"/>
    <mergeCell ref="S270:T270"/>
    <mergeCell ref="V270:W270"/>
    <mergeCell ref="V276:W276"/>
    <mergeCell ref="E271:F271"/>
    <mergeCell ref="G271:H271"/>
    <mergeCell ref="I271:J271"/>
    <mergeCell ref="N271:O271"/>
    <mergeCell ref="P271:Q271"/>
    <mergeCell ref="S271:T271"/>
    <mergeCell ref="V271:W271"/>
  </mergeCells>
  <printOptions/>
  <pageMargins left="0.2362204724409449" right="0.2362204724409449" top="0.8661417322834646" bottom="0.5905511811023623" header="0.7480314960629921" footer="0.31496062992125984"/>
  <pageSetup firstPageNumber="9" useFirstPageNumber="1" fitToHeight="999" fitToWidth="1" horizontalDpi="600" verticalDpi="600" orientation="landscape" paperSize="9" scale="4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дело_313</cp:lastModifiedBy>
  <cp:lastPrinted>2020-02-18T08:40:38Z</cp:lastPrinted>
  <dcterms:created xsi:type="dcterms:W3CDTF">2012-12-13T11:50:40Z</dcterms:created>
  <dcterms:modified xsi:type="dcterms:W3CDTF">2020-02-18T10:32:26Z</dcterms:modified>
  <cp:category/>
  <cp:version/>
  <cp:contentType/>
  <cp:contentStatus/>
</cp:coreProperties>
</file>