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320" windowHeight="7872" activeTab="0"/>
  </bookViews>
  <sheets>
    <sheet name="Лист2" sheetId="1" r:id="rId1"/>
    <sheet name="Лист3" sheetId="2" r:id="rId2"/>
  </sheets>
  <definedNames>
    <definedName name="_Toc260137834" localSheetId="0">'Лист2'!$A$1</definedName>
    <definedName name="_xlnm.Print_Titles" localSheetId="0">'Лист2'!$12:$12</definedName>
    <definedName name="_xlnm.Print_Titles" localSheetId="1">'Лист3'!$9:$9</definedName>
  </definedNames>
  <calcPr fullCalcOnLoad="1"/>
</workbook>
</file>

<file path=xl/sharedStrings.xml><?xml version="1.0" encoding="utf-8"?>
<sst xmlns="http://schemas.openxmlformats.org/spreadsheetml/2006/main" count="756" uniqueCount="548">
  <si>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многоквартирных домов)</t>
  </si>
  <si>
    <t>(п51/п50)*100%</t>
  </si>
  <si>
    <t>D.5.</t>
  </si>
  <si>
    <t>Доля объемов ТЭ, потребляемой в  многоквартирных домах, оплата которой осуществляется с использованием коллективных (общедомовых) приборов учета, в общем объеме ТЭ, потребляемой в многоквартирных домах на территории МО</t>
  </si>
  <si>
    <t>D.6.</t>
  </si>
  <si>
    <t>Доля объемов воды, потребляемой в жилых домах (за исключением многоквартирных домов),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домов) на территории МО</t>
  </si>
  <si>
    <t>(п55/п54)*100%</t>
  </si>
  <si>
    <t>D.7.</t>
  </si>
  <si>
    <t>Доля объемов воды,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многоквартиных домах на территории МО</t>
  </si>
  <si>
    <t>(п57/п56)*100%</t>
  </si>
  <si>
    <t>D.8.</t>
  </si>
  <si>
    <t>Доля объемов воды, потребляемой (используемой)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МО</t>
  </si>
  <si>
    <t>(п58/п56)*100%</t>
  </si>
  <si>
    <t>D.9.</t>
  </si>
  <si>
    <t>Доля объемов природного газа, потребляемого (используемого)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доов) на территории МО</t>
  </si>
  <si>
    <t>(п60/п59)*100%</t>
  </si>
  <si>
    <t>D.10.</t>
  </si>
  <si>
    <t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</si>
  <si>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(п62/п61)*100%</t>
  </si>
  <si>
    <t>D.11.</t>
  </si>
  <si>
    <t>Число жилых домов, в отношении которых проведено энергетическое обследование (далее – ЭО)</t>
  </si>
  <si>
    <t>D.12.</t>
  </si>
  <si>
    <t>Доля жилых домов, в отношении которых проведено ЭО, в общем числе жилых домов</t>
  </si>
  <si>
    <t>(п64/п63)*100%</t>
  </si>
  <si>
    <t>D.13.</t>
  </si>
  <si>
    <t>Удельный расход ТЭ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</si>
  <si>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(п51+п53)/п65</t>
  </si>
  <si>
    <t>D.14.</t>
  </si>
  <si>
    <t>Удельный 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</si>
  <si>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(п50-п51)/п66</t>
  </si>
  <si>
    <t>D.15.</t>
  </si>
  <si>
    <t>Изменение удельного расхода ТЭ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</si>
  <si>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D.15.1</t>
  </si>
  <si>
    <t>D.13.(n+1) - D.13.(n)</t>
  </si>
  <si>
    <t>D.15.2.</t>
  </si>
  <si>
    <t>D.13.(n+1) - D.13.(2007)</t>
  </si>
  <si>
    <t>При стабилизации п.47. и п.49. на уровне 2007г.</t>
  </si>
  <si>
    <t>D.16.</t>
  </si>
  <si>
    <t>Изменение удельного 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</si>
  <si>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</si>
  <si>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</si>
  <si>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</si>
  <si>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D.14.(n+1) - D.14.(2007)</t>
  </si>
  <si>
    <t>При стабилизации п.46. и п.47. на уровне 2007г.</t>
  </si>
  <si>
    <t>D.17.</t>
  </si>
  <si>
    <t xml:space="preserve">Изменение отношения удельного расхода ТЭ в жилых домах, расчеты за которую осуществляются с применением расчетных способов (нормативов потребления), к удельному расходу ТЭ в жилых домах, расчеты за которую осуществляются с использованием приборов учета </t>
  </si>
  <si>
    <t>D.17.1.</t>
  </si>
  <si>
    <t>D.14./D.13.</t>
  </si>
  <si>
    <t>D.17.2.</t>
  </si>
  <si>
    <t>D.14./D.13.(2007)</t>
  </si>
  <si>
    <t>D.18.</t>
  </si>
  <si>
    <t>Удельный расход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</t>
  </si>
  <si>
    <t>куб.м./кв.м.</t>
  </si>
  <si>
    <t>(п55+п57)/п67</t>
  </si>
  <si>
    <t>D.19.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</si>
  <si>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</si>
  <si>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(п54-п55)/п69</t>
  </si>
  <si>
    <t>D.20.</t>
  </si>
  <si>
    <t>Изменение удельного расхода воды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</si>
  <si>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</si>
  <si>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</si>
  <si>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</si>
  <si>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D.18.(n+1) - D.18.(2007)</t>
  </si>
  <si>
    <t>При стабилизации п.51. и п.53. на уровне 2007г.</t>
  </si>
  <si>
    <t>D.21.</t>
  </si>
  <si>
    <t>Изменение удельного 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</si>
  <si>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</si>
  <si>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</si>
  <si>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</si>
  <si>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D.19.(n+1) - D.19.(2007)</t>
  </si>
  <si>
    <t>При стабилизации п.50. и п.51. на уровне 2007г.</t>
  </si>
  <si>
    <t>D.22.</t>
  </si>
  <si>
    <t>Изменение отношения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</si>
  <si>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</si>
  <si>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D.19./D.18.</t>
  </si>
  <si>
    <t>D.22.2.</t>
  </si>
  <si>
    <t>D.19./D.18.(2007)</t>
  </si>
  <si>
    <t>D.23.</t>
  </si>
  <si>
    <t>Удельный расход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площади);</t>
  </si>
  <si>
    <t>кВтч/кв.м.</t>
  </si>
  <si>
    <t>(п46+п50)/п69</t>
  </si>
  <si>
    <t>D.24.</t>
  </si>
  <si>
    <t>Целевые показатели</t>
  </si>
  <si>
    <t>Приложение № 3</t>
  </si>
  <si>
    <t>Удельный 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</si>
  <si>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(п45-п46)/п70</t>
  </si>
  <si>
    <t>D.25.</t>
  </si>
  <si>
    <t>Изменение удельного 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</si>
  <si>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</si>
  <si>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</si>
  <si>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</si>
  <si>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D.23.(n+1) - D.23.(2007)</t>
  </si>
  <si>
    <t>При стабилизации п.42. и п.44. на уровне 2007г.</t>
  </si>
  <si>
    <t>D.26.</t>
  </si>
  <si>
    <t>Изменение удельного 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</si>
  <si>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</si>
  <si>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</si>
  <si>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</si>
  <si>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D.24.(n+1) - D.24.(2007)</t>
  </si>
  <si>
    <t>При стабилизации п.41. и п.42. на уровне 2007г.</t>
  </si>
  <si>
    <t>D.27.</t>
  </si>
  <si>
    <t>Изменение отношения удельного 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</si>
  <si>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</si>
  <si>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D.24./D.23.</t>
  </si>
  <si>
    <t>D.27.2.</t>
  </si>
  <si>
    <t>D.24./D.23.(2007)</t>
  </si>
  <si>
    <t>D.28.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</si>
  <si>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</si>
  <si>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</si>
  <si>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(п60+п62)/п71</t>
  </si>
  <si>
    <t>D.29.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</si>
  <si>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</si>
  <si>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(п59-п60)/п72</t>
  </si>
  <si>
    <t>D.30.</t>
  </si>
  <si>
    <t>Изменение удельного расхода природного газа в жилых домах, расчеты за который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</si>
  <si>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</si>
  <si>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</si>
  <si>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</si>
  <si>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D.28.(n+1) - D.28.(2007)</t>
  </si>
  <si>
    <t>При стабилизации п.56., п.58. на уровне 2007г.</t>
  </si>
  <si>
    <t>D.31.</t>
  </si>
  <si>
    <t>Изменение удельного 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</si>
  <si>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</si>
  <si>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</si>
  <si>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</si>
  <si>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D.29.(n+1) - D.29.(2007)</t>
  </si>
  <si>
    <t>При стабилизации п.55., п.56. на уровне 2007г.</t>
  </si>
  <si>
    <t>D.32.</t>
  </si>
  <si>
    <t xml:space="preserve">Изменение отношения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</si>
  <si>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D.32.1.</t>
  </si>
  <si>
    <t>D.29./D.28.</t>
  </si>
  <si>
    <t>D.32.2.</t>
  </si>
  <si>
    <t>D.29./D.28.(2007)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</si>
  <si>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</si>
  <si>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</si>
  <si>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удельного расхода топлива на выработку ЭЭ тепловыми электростанциями</t>
  </si>
  <si>
    <t>г.у.т./кВтч</t>
  </si>
  <si>
    <t>Е.1.(n+1) -Е.1.(n)</t>
  </si>
  <si>
    <t xml:space="preserve">Составляется прогноз по значению параметра до 2020г. </t>
  </si>
  <si>
    <t>Изменение (динамика) рассчитывается при  n →2020г.</t>
  </si>
  <si>
    <t>Е.2.</t>
  </si>
  <si>
    <t>Изменение удельного расхода топлива на выработку ТЭ</t>
  </si>
  <si>
    <t>г.у.т./Гкал</t>
  </si>
  <si>
    <t>Е.2.(n+1) -Е.2.(n)</t>
  </si>
  <si>
    <t>Е.3.</t>
  </si>
  <si>
    <t>Динамика изменения фактического объема потерь ЭЭ при ее передаче по распределительным сетям</t>
  </si>
  <si>
    <t>Е.3.(n+1) -Е.3.(n)</t>
  </si>
  <si>
    <t>Е.4.</t>
  </si>
  <si>
    <t>Динамика изменения фактического объема потерь ТЭ при ее передаче</t>
  </si>
  <si>
    <t>Гкалч</t>
  </si>
  <si>
    <t>Е.4.(n+1) -Е.4.(n)</t>
  </si>
  <si>
    <t>Е.5.</t>
  </si>
  <si>
    <t>Динамика изменения фактического объема потерь воды при ее передаче</t>
  </si>
  <si>
    <t>Е.5.(n+1) -Е.5.(n)</t>
  </si>
  <si>
    <t>Е.6.</t>
  </si>
  <si>
    <t>Динамика изменения объемов ЭЭ, используемой при передаче (транспортировке) воды</t>
  </si>
  <si>
    <t>кВт</t>
  </si>
  <si>
    <t>Е.6.(n+1) -Е.6.(n)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</si>
  <si>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</si>
  <si>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</si>
  <si>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</si>
  <si>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п79(n+1) - п79(n)</t>
  </si>
  <si>
    <t>Составляется график проведения мероприятий по энергоэффективности транспорта</t>
  </si>
  <si>
    <t>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</si>
  <si>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</si>
  <si>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</si>
  <si>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п80(n+1) - п80(n)</t>
  </si>
  <si>
    <t xml:space="preserve">   п27/(п27+п29)* 100%</t>
  </si>
  <si>
    <t>п37/п36*100</t>
  </si>
  <si>
    <t>п40/п39*100</t>
  </si>
  <si>
    <t>п42/п41*100</t>
  </si>
  <si>
    <t>(п53/п52)*100%</t>
  </si>
  <si>
    <r>
      <t>п</t>
    </r>
    <r>
      <rPr>
        <sz val="14"/>
        <color indexed="8"/>
        <rFont val="Arial"/>
        <family val="2"/>
      </rPr>
      <t>3</t>
    </r>
  </si>
  <si>
    <r>
      <t>п</t>
    </r>
    <r>
      <rPr>
        <sz val="14"/>
        <color indexed="8"/>
        <rFont val="Arial"/>
        <family val="2"/>
      </rPr>
      <t>4</t>
    </r>
  </si>
  <si>
    <r>
      <t>п</t>
    </r>
    <r>
      <rPr>
        <sz val="14"/>
        <color indexed="8"/>
        <rFont val="Arial"/>
        <family val="2"/>
      </rPr>
      <t>5</t>
    </r>
  </si>
  <si>
    <r>
      <t>п</t>
    </r>
    <r>
      <rPr>
        <sz val="14"/>
        <color indexed="8"/>
        <rFont val="Arial"/>
        <family val="2"/>
      </rPr>
      <t>6</t>
    </r>
  </si>
  <si>
    <r>
      <t>п</t>
    </r>
    <r>
      <rPr>
        <sz val="14"/>
        <color indexed="8"/>
        <rFont val="Arial"/>
        <family val="2"/>
      </rPr>
      <t>7</t>
    </r>
  </si>
  <si>
    <r>
      <t>п</t>
    </r>
    <r>
      <rPr>
        <sz val="14"/>
        <color indexed="8"/>
        <rFont val="Arial"/>
        <family val="2"/>
      </rPr>
      <t>8</t>
    </r>
  </si>
  <si>
    <r>
      <t>п</t>
    </r>
    <r>
      <rPr>
        <sz val="14"/>
        <color indexed="8"/>
        <rFont val="Arial"/>
        <family val="2"/>
      </rPr>
      <t>9</t>
    </r>
  </si>
  <si>
    <r>
      <t>п</t>
    </r>
    <r>
      <rPr>
        <sz val="14"/>
        <color indexed="8"/>
        <rFont val="Arial"/>
        <family val="2"/>
      </rPr>
      <t>10</t>
    </r>
  </si>
  <si>
    <r>
      <t>п</t>
    </r>
    <r>
      <rPr>
        <sz val="14"/>
        <color indexed="8"/>
        <rFont val="Arial"/>
        <family val="2"/>
      </rPr>
      <t>11</t>
    </r>
  </si>
  <si>
    <r>
      <t>п</t>
    </r>
    <r>
      <rPr>
        <sz val="14"/>
        <color indexed="8"/>
        <rFont val="Arial"/>
        <family val="2"/>
      </rPr>
      <t>12</t>
    </r>
  </si>
  <si>
    <r>
      <t>п</t>
    </r>
    <r>
      <rPr>
        <sz val="14"/>
        <color indexed="8"/>
        <rFont val="Arial"/>
        <family val="2"/>
      </rPr>
      <t>13</t>
    </r>
  </si>
  <si>
    <r>
      <t>п</t>
    </r>
    <r>
      <rPr>
        <sz val="14"/>
        <color indexed="8"/>
        <rFont val="Arial"/>
        <family val="2"/>
      </rPr>
      <t>14</t>
    </r>
  </si>
  <si>
    <r>
      <t>п</t>
    </r>
    <r>
      <rPr>
        <sz val="14"/>
        <color indexed="8"/>
        <rFont val="Arial"/>
        <family val="2"/>
      </rPr>
      <t>15</t>
    </r>
  </si>
  <si>
    <r>
      <t>п</t>
    </r>
    <r>
      <rPr>
        <sz val="14"/>
        <color indexed="8"/>
        <rFont val="Arial"/>
        <family val="2"/>
      </rPr>
      <t>16</t>
    </r>
  </si>
  <si>
    <r>
      <t>п</t>
    </r>
    <r>
      <rPr>
        <sz val="14"/>
        <color indexed="8"/>
        <rFont val="Arial"/>
        <family val="2"/>
      </rPr>
      <t>17</t>
    </r>
  </si>
  <si>
    <r>
      <t>п</t>
    </r>
    <r>
      <rPr>
        <sz val="14"/>
        <color indexed="8"/>
        <rFont val="Arial"/>
        <family val="2"/>
      </rPr>
      <t>18</t>
    </r>
  </si>
  <si>
    <r>
      <t>п</t>
    </r>
    <r>
      <rPr>
        <sz val="14"/>
        <color indexed="8"/>
        <rFont val="Arial"/>
        <family val="2"/>
      </rPr>
      <t>19</t>
    </r>
  </si>
  <si>
    <r>
      <t>п</t>
    </r>
    <r>
      <rPr>
        <sz val="14"/>
        <color indexed="8"/>
        <rFont val="Arial"/>
        <family val="2"/>
      </rPr>
      <t>20</t>
    </r>
  </si>
  <si>
    <r>
      <t>п</t>
    </r>
    <r>
      <rPr>
        <sz val="14"/>
        <color indexed="8"/>
        <rFont val="Arial"/>
        <family val="2"/>
      </rPr>
      <t>21</t>
    </r>
  </si>
  <si>
    <r>
      <t>п</t>
    </r>
    <r>
      <rPr>
        <sz val="14"/>
        <color indexed="8"/>
        <rFont val="Arial"/>
        <family val="2"/>
      </rPr>
      <t>22</t>
    </r>
  </si>
  <si>
    <r>
      <t>п</t>
    </r>
    <r>
      <rPr>
        <sz val="14"/>
        <color indexed="8"/>
        <rFont val="Arial"/>
        <family val="2"/>
      </rPr>
      <t>23</t>
    </r>
  </si>
  <si>
    <r>
      <t>п</t>
    </r>
    <r>
      <rPr>
        <sz val="14"/>
        <color indexed="8"/>
        <rFont val="Arial"/>
        <family val="2"/>
      </rPr>
      <t>24</t>
    </r>
  </si>
  <si>
    <r>
      <t>п</t>
    </r>
    <r>
      <rPr>
        <sz val="14"/>
        <color indexed="8"/>
        <rFont val="Arial"/>
        <family val="2"/>
      </rPr>
      <t>25</t>
    </r>
  </si>
  <si>
    <r>
      <t>п</t>
    </r>
    <r>
      <rPr>
        <sz val="14"/>
        <color indexed="8"/>
        <rFont val="Arial"/>
        <family val="2"/>
      </rPr>
      <t>26</t>
    </r>
  </si>
  <si>
    <r>
      <t xml:space="preserve">Снижение  энергоемкости  на 40%  к 2020г. относительно уровня  2007г. согласно Указу Президента РФ от 04.06.2008. № 889 </t>
    </r>
    <r>
      <rPr>
        <sz val="14"/>
        <color indexed="8"/>
        <rFont val="Arial"/>
        <family val="2"/>
      </rPr>
      <t>(Собрание законодательства Российской Федерации, 2008, № 23,     ст. 2672)</t>
    </r>
  </si>
  <si>
    <t>Приложение № 2</t>
  </si>
  <si>
    <t>Общие сведения</t>
  </si>
  <si>
    <t>Муниципальный продукт</t>
  </si>
  <si>
    <t>тыс. кВтч</t>
  </si>
  <si>
    <t>тыс. Гкал</t>
  </si>
  <si>
    <t>Объем потребления воды МО</t>
  </si>
  <si>
    <t>Объем потребления природного газа МО</t>
  </si>
  <si>
    <t>тыс. куб.м</t>
  </si>
  <si>
    <t>Объем потребления ЭЭ, расчеты за которую осуществляются с использованием приборов учета</t>
  </si>
  <si>
    <t>тыс.кВтч</t>
  </si>
  <si>
    <t>Объем потребления ТЭ, расчеты за которую осуществляются с использованием приборов учета</t>
  </si>
  <si>
    <t>тыс.Гкал</t>
  </si>
  <si>
    <t>Объем потребления воды, расчеты за которую осуществляются с использованием приборов учета</t>
  </si>
  <si>
    <t>Объем потребления природного газа, расчеты за который осуществляются с использованием приборов учета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</si>
  <si>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</si>
  <si>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</si>
  <si>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</si>
  <si>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</si>
  <si>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</si>
  <si>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</si>
  <si>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</si>
  <si>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</si>
  <si>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</si>
  <si>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</si>
  <si>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</si>
  <si>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Гкал</t>
  </si>
  <si>
    <t>кв.м.</t>
  </si>
  <si>
    <t>чел.</t>
  </si>
  <si>
    <t>кВтч</t>
  </si>
  <si>
    <t xml:space="preserve">Бюджет МО </t>
  </si>
  <si>
    <t>тыс.руб.</t>
  </si>
  <si>
    <t>Расходы МО на предоставление субсидий организациям коммунального комплекса на приобретение топлива</t>
  </si>
  <si>
    <t>шт.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</si>
  <si>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</si>
  <si>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</si>
  <si>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</si>
  <si>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</si>
  <si>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 xml:space="preserve">Расходы бюджета МО на предоставление социальной поддержки гражданам по оплате жилого помещения и коммунальных услуг 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</si>
  <si>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</si>
  <si>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куб.м.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</si>
  <si>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</si>
  <si>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</si>
  <si>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 xml:space="preserve">Площадь жилых домах, где расчеты за воду осуществляют с применением расчетных способов (нормативов потребления) </t>
  </si>
  <si>
    <t>Объем потерь ЭЭ при ее передаче по распределительным сетям</t>
  </si>
  <si>
    <t>Объем потерь ТЭ при ее передаче</t>
  </si>
  <si>
    <t>Объем потерь воды при ее передаче</t>
  </si>
  <si>
    <t>Объем ЭЭ, используемой при передаче (транспортировке) воды</t>
  </si>
  <si>
    <t>-</t>
  </si>
  <si>
    <t xml:space="preserve">Индикаторы расчета целевых показателей </t>
  </si>
  <si>
    <t>муниципальных программ</t>
  </si>
  <si>
    <t>№ пп</t>
  </si>
  <si>
    <t>Единица измерения</t>
  </si>
  <si>
    <t>Годы (n)</t>
  </si>
  <si>
    <t>п1</t>
  </si>
  <si>
    <t>млрд.</t>
  </si>
  <si>
    <t>руб.</t>
  </si>
  <si>
    <t>п2</t>
  </si>
  <si>
    <t>Потребление топливно-энергетических ресурсов (далее – ТЭР) муниципальным образованием (далее -  МО)</t>
  </si>
  <si>
    <t>тыс.</t>
  </si>
  <si>
    <t>Объем потребления электрической энергии (далее – ЭЭ) МО</t>
  </si>
  <si>
    <t>Объем потребления тепловой энергии (далее – ТЭ) МО</t>
  </si>
  <si>
    <t xml:space="preserve">Расход ТЭ бюджетным учреждением (далее – БУ), расчеты за которую осуществляются с использованием приборов учета </t>
  </si>
  <si>
    <t xml:space="preserve">Площадь бюджетных учреждений, в которых расчеты за ТЭ осуществляются с использованием приборов учета </t>
  </si>
  <si>
    <t>Расход ТЭ бюджетных учреждений, расчеты за которую осуществляются с применением расчетных способов</t>
  </si>
  <si>
    <t>Площадь  бюджетных учреждений , в которых расчеты за ТЭ осуществляются с применением расчетных способов</t>
  </si>
  <si>
    <t xml:space="preserve">Расход воды на снабжение  бюджетных учреждений , расчеты за которую осуществляются с использованием приборов учета </t>
  </si>
  <si>
    <t xml:space="preserve">Численность сотрудников бюджетных учреждений, в котором расходы воды осуществляются с использованием приборов учета </t>
  </si>
  <si>
    <t>Расход воды на снабжение  бюджетных учреждений , расчеты за которую осуществляются с применением расчетных способов</t>
  </si>
  <si>
    <t>Численность сотрудников  бюджетных учреждений ,в которых расходы воды осуществляются с применением расчетных способов</t>
  </si>
  <si>
    <t>п27</t>
  </si>
  <si>
    <t xml:space="preserve">Расход ЭЭ на обеспечение  бюджетных учреждений , расчеты за которую осуществляются с использованием приборов учета </t>
  </si>
  <si>
    <t>п28</t>
  </si>
  <si>
    <t xml:space="preserve">Площадь  бюджетных учреждений , в которых расчеты за ЭЭ осуществляются с использованием приборов учета </t>
  </si>
  <si>
    <t>п29</t>
  </si>
  <si>
    <t>Расход ЭЭ на обеспечение  бюджетных учреждений , расчеты за которую осуществляются с применением расчетных способов</t>
  </si>
  <si>
    <t>п30</t>
  </si>
  <si>
    <t>Площадь  бюджетных учреждений , в котором расчеты за ЭЭ осуществляются с применением расчетного способа</t>
  </si>
  <si>
    <t>п31</t>
  </si>
  <si>
    <t>Объем природного газа, потребляемого (используемого)  бюджетными учреждениями  МО</t>
  </si>
  <si>
    <t>п32</t>
  </si>
  <si>
    <t>Объем природного газа, потребляемого (используемого)  бюджетных учреждений , расчеты за который осуществляются с использованием приборов учета</t>
  </si>
  <si>
    <t>п33</t>
  </si>
  <si>
    <t>п34</t>
  </si>
  <si>
    <t>Расходы бюджета МО на обеспечение энергетическими ресурсами  бюджетных учреждений</t>
  </si>
  <si>
    <t>п35</t>
  </si>
  <si>
    <t>п36</t>
  </si>
  <si>
    <t>Общее количество  бюджетных учреждений</t>
  </si>
  <si>
    <t>ед.</t>
  </si>
  <si>
    <t>п37</t>
  </si>
  <si>
    <t>п38</t>
  </si>
  <si>
    <t>п39</t>
  </si>
  <si>
    <t>п40</t>
  </si>
  <si>
    <t>Количество муниципальных заказчиков, заключившх энергосервисные договоры (контракты)</t>
  </si>
  <si>
    <t>п41</t>
  </si>
  <si>
    <t>п42</t>
  </si>
  <si>
    <t>п43</t>
  </si>
  <si>
    <t>п44</t>
  </si>
  <si>
    <t>п45</t>
  </si>
  <si>
    <t>Объем ЭЭ, потребляемой (используемой) в жилых домах (за исключением многоквартирных домов) на территории МО</t>
  </si>
  <si>
    <t>п46</t>
  </si>
  <si>
    <t>п47</t>
  </si>
  <si>
    <t>Объем ЭЭ, потребляемой (используемой) в многоквартирных домах на территории МО</t>
  </si>
  <si>
    <t>п48</t>
  </si>
  <si>
    <t>Объем ЭЭ,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</si>
  <si>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п49</t>
  </si>
  <si>
    <t>Объем ЭЭ, потребляемой (используемой) в многоквартирных домах на территории МО, расчеты за которую осуществляется с использованием индивидуальных и общих (для коммунальной квартиры) приборов учета</t>
  </si>
  <si>
    <t>п50</t>
  </si>
  <si>
    <t>Объем ТЭ, потребляемой (используемой) в жилых домах на территории МО</t>
  </si>
  <si>
    <t>п51</t>
  </si>
  <si>
    <t>Объем ТЭ, потребляемой (используемой) в жилых домах на территории  МО, расчеты за которую осуществляются с использованием приборов учета</t>
  </si>
  <si>
    <t>п52</t>
  </si>
  <si>
    <t>Объем ТЭ, потребляемой (используемой) в многоквартирных домах на территории МО</t>
  </si>
  <si>
    <t>п53</t>
  </si>
  <si>
    <t>Объем ТЭ, потребляемой (используемой) в многоквартирных домах на территории МО, расчеты за которую осуществляется с использованием коллективных (общедомовых) приборов учета</t>
  </si>
  <si>
    <t>п54</t>
  </si>
  <si>
    <t>Объем воды, потребляемой (используемой) в жилых домах (за исключением многоквартирных домов) на территории МО</t>
  </si>
  <si>
    <t>п55</t>
  </si>
  <si>
    <t>Объем воды, потребляемой (используемой) в жилых домах (за исключением многоквартирных домов) на территории МО, расчеты за которую осуществляются с использованием приборов учета</t>
  </si>
  <si>
    <t>п56</t>
  </si>
  <si>
    <t>Объем воды, потребляемой (используемой) в многоквартирных домах на территории МО</t>
  </si>
  <si>
    <t>п57</t>
  </si>
  <si>
    <t>Объем воды, потребляемой (используемой) в многоквартирных домах на территории МО, расчеты за которую осуществляются с использованием коллективных (общедомовых) приборов учета</t>
  </si>
  <si>
    <t>п58</t>
  </si>
  <si>
    <t>Объем воды, потребляемой (используемой) в многоквартирных домах на территории МО, расчеты за которую осуществляются с использованием индивидуальных и общих (для коммунальной квартиры) приборов учета</t>
  </si>
  <si>
    <t>п59</t>
  </si>
  <si>
    <t>п60</t>
  </si>
  <si>
    <t>Объем природного газа, потребляемого (используемого) в жилых домах (за исключением многоквартирных домов) на территории МО, расчеты за который осуществляются с использованием приборов учета</t>
  </si>
  <si>
    <t>п61</t>
  </si>
  <si>
    <t>п62</t>
  </si>
  <si>
    <t>Объем природного газа, потребляемого (используемого) в многоквартирных домах на территории МО, расчеты за который осуществляются с использованием индивидуальных и общих (для коммунальной квартиры) приборов учета</t>
  </si>
  <si>
    <t>п63</t>
  </si>
  <si>
    <t>Число жилых домов на территории МО</t>
  </si>
  <si>
    <t>п64</t>
  </si>
  <si>
    <t>Число жилых домов на территории МО, в отношении которых проведено энергетическое</t>
  </si>
  <si>
    <t>обследование</t>
  </si>
  <si>
    <t>п65</t>
  </si>
  <si>
    <t xml:space="preserve">Площадь жилых домов на территории МО, где расчеты за ТЭ осуществляются с использованием приборов учета (в части многоквартирных домов - с использованием коллективных (общедомовых) приборов учета) </t>
  </si>
  <si>
    <t>п66</t>
  </si>
  <si>
    <t xml:space="preserve">Площадь жилых домов на территории МО, где расчеты за ТЭ осуществляются с применением расчетных способов (нормативов потребления) </t>
  </si>
  <si>
    <t>п67</t>
  </si>
  <si>
    <t xml:space="preserve">Площадь жилых домов на территории МО, где расчеты за воду осуществляются с использованием приборов учета (в части многоквартирных домов - с использованием коллективных (общедомовых) приборов учета) </t>
  </si>
  <si>
    <t>п68</t>
  </si>
  <si>
    <t>п69</t>
  </si>
  <si>
    <t xml:space="preserve">Площадь жилых домов на территории МО, где расчеты за ЭЭ осуществляются с использованием приборов учета (в части многоквартирных домов - с использованием коллективных (общедомовых) приборов учета) </t>
  </si>
  <si>
    <t>п70</t>
  </si>
  <si>
    <t xml:space="preserve">Площадь жилых домов на территории МО, где расчеты за ЭЭ осуществляют с применением расчетных способов (нормативов потребления) </t>
  </si>
  <si>
    <t>п71</t>
  </si>
  <si>
    <t xml:space="preserve">Площадь жилых домов на территории МО, где расчеты за природный газ осуществляются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</si>
  <si>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>п72</t>
  </si>
  <si>
    <t xml:space="preserve">Площадь жилых домов на территории МО, где за природный газ осуществляются с применением расчетных способов (нормативов потребления) </t>
  </si>
  <si>
    <t>п73</t>
  </si>
  <si>
    <t>Удельный расход топлива на выработку ЭЭ тепловыми электростанциями</t>
  </si>
  <si>
    <t>т.у.т/кВтч</t>
  </si>
  <si>
    <t>п74</t>
  </si>
  <si>
    <t>Удельный расход топлива на выработку ТЭ</t>
  </si>
  <si>
    <t>т.у.т./</t>
  </si>
  <si>
    <t>п75</t>
  </si>
  <si>
    <t>п76</t>
  </si>
  <si>
    <t>п77</t>
  </si>
  <si>
    <t>п78</t>
  </si>
  <si>
    <t>п79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</si>
  <si>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на территории МО</t>
  </si>
  <si>
    <t>п80</t>
  </si>
  <si>
    <t>Количество общественного транспорта на территории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</si>
  <si>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млрд. руб.</t>
  </si>
  <si>
    <t>Объем природного газа, потребляемого (используемого) в многоквартирных домах на территории  МО</t>
  </si>
  <si>
    <t>№ п.</t>
  </si>
  <si>
    <t>Наименование показателей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</si>
  <si>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</si>
  <si>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</si>
  <si>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</si>
  <si>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</si>
  <si>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</si>
  <si>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</si>
  <si>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кг у.т./ тыс.руб.</t>
  </si>
  <si>
    <t>п2/п1</t>
  </si>
  <si>
    <t>А.2.</t>
  </si>
  <si>
    <t>Доля объемов электрической энергии (далее – ЭЭ), расчеты за которую осуществляются с использованием приборов учета (в части многоквартирных домах - с использованием коллективных приборов учета), в общем объеме ЭЭ, потребляемой на территории муниципального образования (далее – МО)</t>
  </si>
  <si>
    <t>%</t>
  </si>
  <si>
    <t>(п7/п3)*100%</t>
  </si>
  <si>
    <t>А.3.</t>
  </si>
  <si>
    <t>Доля объемов тепловой энергии (далее – ТЭ), расчеты за которую осуществляются с использованием приборов учета (в части многоквартирных домах - с использованием коллективных приборов учета), в общем объеме ТЭ, потребляемой на территории МО</t>
  </si>
  <si>
    <t>(п8/п4)*100%</t>
  </si>
  <si>
    <t>А.4.</t>
  </si>
  <si>
    <t>Доля объемов воды, расчеты за которую осуществляются с использованием приборов учета (в части многоквартирных домах - с использованием коллективных приборов учета), в общем объеме воды, потребляемой на территории МО</t>
  </si>
  <si>
    <t>(п9/п5)*100%</t>
  </si>
  <si>
    <t>А.5.</t>
  </si>
  <si>
    <t>Доля объемов природного газа, расчеты за который осуществляются с использованием приборов учета (в части многоквартирных домах - с использованием индивидуальных и общих приборов учета) в общем объеме природного газа, потребляемого на территории МО</t>
  </si>
  <si>
    <t>(п10/п6)*100%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</si>
  <si>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</si>
  <si>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</si>
  <si>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(п18/п17)*100%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</si>
  <si>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</si>
  <si>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</si>
  <si>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п15(n+1) - п15(n)</t>
  </si>
  <si>
    <t>Составляется прогноз по значению параметра до 2020г.                                         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</si>
  <si>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</si>
  <si>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</si>
  <si>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(п15/п16)*100%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</si>
  <si>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</si>
  <si>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</si>
  <si>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</si>
  <si>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[(А.1.(2007) – А.1.(n))/ А.1.(2007)]* п3(2007)</t>
  </si>
  <si>
    <t>Прогноз экономии ЭЭ осуществляется при стабилизации МП и значения потребления ЭЭ на уровне 2007 г.</t>
  </si>
  <si>
    <t>В.2.</t>
  </si>
  <si>
    <t>Экономия ЭЭ  в стоимостном выражении</t>
  </si>
  <si>
    <t>В.1.*п.11.(2007)</t>
  </si>
  <si>
    <t>Прогноз экономии ЭЭ осуществляется в ценах 2007 г.</t>
  </si>
  <si>
    <t>В.3.</t>
  </si>
  <si>
    <t>Экономия ТЭ в натуральном выражении</t>
  </si>
  <si>
    <t>[(А.1.(2007) – А.1.(n))/ А.1.(2007)]* п4(2007)</t>
  </si>
  <si>
    <t>Прогноз экономии ЭЭ осуществляется при стабилизации МП и потребления ТЭ на уровне 2007 г.</t>
  </si>
  <si>
    <t>В.4.</t>
  </si>
  <si>
    <t>Экономия ТЭ  в стоимостном выражении</t>
  </si>
  <si>
    <t xml:space="preserve"> тыс.руб.</t>
  </si>
  <si>
    <t>В.3.*п12(2007)</t>
  </si>
  <si>
    <t>Прогноз экономии ТЭ осуществляется в ценах 2007 г.</t>
  </si>
  <si>
    <t>В.5.</t>
  </si>
  <si>
    <t>Экономия воды в натуральном выражении</t>
  </si>
  <si>
    <t>тыс.м.куб</t>
  </si>
  <si>
    <t>[(А.1.(2007) – А.1.(n))/ А.1.(2007)]* п5(2007)</t>
  </si>
  <si>
    <t>Прогноз экономии воды осуществляется при стабилизации МП и значения потребления воды на уровне 2007 г.</t>
  </si>
  <si>
    <t>В.6.</t>
  </si>
  <si>
    <t>Экономия воды в стоимостном выражении</t>
  </si>
  <si>
    <t>В.5.*п13(2007)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</si>
  <si>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</si>
  <si>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</si>
  <si>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</si>
  <si>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[(А.1.(2007) – А.1.(n))/ А.1.(2007)]* п6(2007)</t>
  </si>
  <si>
    <t>Прогноз экономии газа осуществляется при стабилизации МП и значения потребления ЭЭ на уровне 2007 г.</t>
  </si>
  <si>
    <t>В.8.</t>
  </si>
  <si>
    <t>Экономия природного газа  в стоимостном выражении</t>
  </si>
  <si>
    <t>В.7.*п14(2007)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</si>
  <si>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</si>
  <si>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</si>
  <si>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</si>
  <si>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Удельный расход ТЭ бюджетного учреждения (далее – БУ) на 1 кв. метр общей площади, расчеты за которую осуществляются с использованием приборов учета </t>
  </si>
  <si>
    <t>Гкал/кв.м.</t>
  </si>
  <si>
    <t>п19/п20</t>
  </si>
  <si>
    <t>С.2.</t>
  </si>
  <si>
    <t xml:space="preserve">Удельный расход ТЭ БУ на 1 кв. метр общей площади, расчеты за которую осуществляются с применением расчетных способов </t>
  </si>
  <si>
    <t>п21/п22</t>
  </si>
  <si>
    <t>С.3</t>
  </si>
  <si>
    <t>Изменение удельного расхода ТЭ БУ общей площади, расчеты за которую осуществляются с использованием приборов учета на 1 кв.м.</t>
  </si>
  <si>
    <t>С.1.(n+1) - C.1.(n)</t>
  </si>
  <si>
    <t>где n →2020г.</t>
  </si>
  <si>
    <t>С.4.</t>
  </si>
  <si>
    <t>Изменение удельног0 расхода ТЭ БУ  общей площади, расчеты за которую осуществляются с применением расчетным способом на 1 кв.м.</t>
  </si>
  <si>
    <t>С.2.(n+1) - C.2.(n)</t>
  </si>
  <si>
    <t>С.6.</t>
  </si>
  <si>
    <t>Изменение отношения удельного расхода ТЭ БУ, расчеты за которую осуществляются с применением расчетных способов, к удельному расходу ТЭ БУ, расчеты за которую осуществляются с использованием приборов учета</t>
  </si>
  <si>
    <t>С.2./С.1.</t>
  </si>
  <si>
    <t>С.7.</t>
  </si>
  <si>
    <t>Удельный расход воды на снабжение БУ, расчеты за которую осуществляются с использованием приборов учета на 1 чел.</t>
  </si>
  <si>
    <t>куб.м./чел.</t>
  </si>
  <si>
    <t>п23/п24</t>
  </si>
  <si>
    <t>С.8.</t>
  </si>
  <si>
    <t>Удельный расход воды на обеспечение БУ, расчеты за которую осуществляются с применением расчетных способов на 1 чел.</t>
  </si>
  <si>
    <t>п25/п26</t>
  </si>
  <si>
    <t>С.9.</t>
  </si>
  <si>
    <t>Изменение удельного расхода воды на обеспечение БУ, расчеты за которую осуществляются с использованием приборов учета на 1 чел.</t>
  </si>
  <si>
    <t>С.7.(n+1) - C.7.(n)</t>
  </si>
  <si>
    <t>С.10.</t>
  </si>
  <si>
    <t>Изменение удельного расхода воды на обеспечение БУ, расчеты за которую осуществляются с применением расчетных способов на 1 чел.</t>
  </si>
  <si>
    <t>С.8.(n+1) - C.8.(n)</t>
  </si>
  <si>
    <t>С.11.</t>
  </si>
  <si>
    <t>Изменение отношения удельного расхода воды на обеспечение БУ, расчеты за которую осуществляются с применением расчетных способов, к удельному расходу ЭЭ на обеспечение БУ, расчеты за которую осуществляются с использованием приборов учета</t>
  </si>
  <si>
    <t>С.12./С.11.</t>
  </si>
  <si>
    <t>С.12.</t>
  </si>
  <si>
    <t>Удельный расход ЭЭ на обеспечение БУ, расчеты за которую осуществляются с использованием приборов учета на 1 чел.</t>
  </si>
  <si>
    <t>кВтч/чел</t>
  </si>
  <si>
    <t>п27/п28</t>
  </si>
  <si>
    <t>С.13.</t>
  </si>
  <si>
    <t>Удельный расход ЭЭ на обеспечение БУ, расчеты за которую осуществляются с применением расчетных способов на 1 чел.</t>
  </si>
  <si>
    <t>п29/п30</t>
  </si>
  <si>
    <t>С.14.</t>
  </si>
  <si>
    <t>Изменение удельного расхода ЭЭ на обеспечение БУ, расчеты за которую осуществляются с использованием приборов учета на 1 чел.</t>
  </si>
  <si>
    <t>С.12.(n+1) - C.12.(n)</t>
  </si>
  <si>
    <t>С.15.</t>
  </si>
  <si>
    <t>Изменение удельного расхода ЭЭ на обеспечение БУ, расчеты за которую осуществляются с применением расчетных способов на 1 чел.</t>
  </si>
  <si>
    <t>С.13.(n+1) - C.13.(n)</t>
  </si>
  <si>
    <t>С.16.</t>
  </si>
  <si>
    <t>Изменение отношения удельного расхода ЭЭ на обеспечение БУ, расчеты за которую осуществляются с применением расчетных способов, к удельному расходу ЭЭ на обеспечение БУ, расчеты за которую осуществляются с использованием приборов учета</t>
  </si>
  <si>
    <t>С.17./С.16.</t>
  </si>
  <si>
    <t>С.17.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</si>
  <si>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</si>
  <si>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С.18.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</si>
  <si>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</si>
  <si>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п19/(п19+п21)* 100%</t>
  </si>
  <si>
    <t>С.19.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</si>
  <si>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</si>
  <si>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п23/(п23+п25)* 100%</t>
  </si>
  <si>
    <t>С.20.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</si>
  <si>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</si>
  <si>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(п32/п31)*100%</t>
  </si>
  <si>
    <t>С.21.</t>
  </si>
  <si>
    <t xml:space="preserve">Доля расходов бюджета МО на обеспечение энергетическими ресурсами БУ </t>
  </si>
  <si>
    <t>С.21.1.</t>
  </si>
  <si>
    <t>для фактических условий</t>
  </si>
  <si>
    <t>п34(n)/ п33(n)</t>
  </si>
  <si>
    <t>где n - отчетный год,  (n+1) - последующий год</t>
  </si>
  <si>
    <t>для сопоставимых условий</t>
  </si>
  <si>
    <t>п34(n) / п33(2007)</t>
  </si>
  <si>
    <t>При стабилизации п.29.  на уровне 2007г.</t>
  </si>
  <si>
    <t>С.22.</t>
  </si>
  <si>
    <t>Динамика расходов бюджета МО на обеспечение энергетическими ресурсами БУ (для фактических и сопоставимых условий)</t>
  </si>
  <si>
    <t>С.22.1.</t>
  </si>
  <si>
    <t>С.21.1.(n+1) - C.21.1.(n)</t>
  </si>
  <si>
    <t>С.22.2.</t>
  </si>
  <si>
    <t>С.21.2.(n+1) - C.21.2.(n)</t>
  </si>
  <si>
    <t>С.23.</t>
  </si>
  <si>
    <t>Доля расходов бюджета МО на предоставление субсидий организациям коммунального комплекса на приобретение топлива</t>
  </si>
  <si>
    <t>(п35/п33)* 100%</t>
  </si>
  <si>
    <t>С.24.</t>
  </si>
  <si>
    <t>Динамика расходов бюджета МО на предоставление субсидий организациям коммунального комплекса на приобретение топлива</t>
  </si>
  <si>
    <t>С.23.(n+1) - C.23.(n)</t>
  </si>
  <si>
    <t>С.25.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</si>
  <si>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</si>
  <si>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>С.26.</t>
  </si>
  <si>
    <t>Число энергосервисных договоров, заключенных муниципальными заказчиками</t>
  </si>
  <si>
    <t>С.27.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</si>
  <si>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</si>
  <si>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С.28.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</si>
  <si>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</si>
  <si>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С.29.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</si>
  <si>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</si>
  <si>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</si>
  <si>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п43/п44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</si>
  <si>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</si>
  <si>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</si>
  <si>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 на территории МО</t>
  </si>
  <si>
    <t>(п46/п45)*100%</t>
  </si>
  <si>
    <t>D.2.</t>
  </si>
  <si>
    <t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на территории МО</t>
  </si>
  <si>
    <t>(п48/п47)*100%</t>
  </si>
  <si>
    <t>D.3.</t>
  </si>
  <si>
    <t>Доля объемов ЭЭ,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многоквартирных домах на территории МО</t>
  </si>
  <si>
    <t>(п49/п47)*100%</t>
  </si>
  <si>
    <t>D.4.</t>
  </si>
  <si>
    <t>к Программе</t>
  </si>
  <si>
    <t>Индикаторы расчёта</t>
  </si>
  <si>
    <t xml:space="preserve"> в жилых домах (за исключением многоквартирных домов) на территории МО, расчеты за которую осуществляются с использованием приборов учета </t>
  </si>
  <si>
    <t>Объем ЭЭ, потребляемой (используемой)</t>
  </si>
  <si>
    <t>тыс. куб. м</t>
  </si>
  <si>
    <t>руб./тыс. куб .м</t>
  </si>
  <si>
    <t>руб./куб. м</t>
  </si>
  <si>
    <t>кв. м</t>
  </si>
  <si>
    <t>куб. м</t>
  </si>
  <si>
    <t xml:space="preserve">кв. м </t>
  </si>
  <si>
    <t>Количество  бюджетных учреждений, в отношении которых проведено обязательное энергетическое обследование</t>
  </si>
  <si>
    <t>(данные берутся из приложения № 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</si>
</sst>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0"/>
    <numFmt numFmtId="166" formatCode="#,##0.00000"/>
    <numFmt numFmtId="167" formatCode="#,##0.0000"/>
    <numFmt numFmtId="168" formatCode="0.00000"/>
    <numFmt numFmtId="169" formatCode="0.000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indent="3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169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wrapText="1"/>
    </xf>
    <xf numFmtId="167" fontId="2" fillId="0" borderId="11" xfId="0" applyNumberFormat="1" applyFont="1" applyBorder="1" applyAlignment="1">
      <alignment horizontal="center" vertical="center" wrapText="1"/>
    </xf>
    <xf numFmtId="170" fontId="2" fillId="0" borderId="11" xfId="0" applyNumberFormat="1" applyFont="1" applyBorder="1" applyAlignment="1">
      <alignment horizontal="center" wrapText="1"/>
    </xf>
    <xf numFmtId="167" fontId="2" fillId="0" borderId="11" xfId="0" applyNumberFormat="1" applyFont="1" applyBorder="1" applyAlignment="1">
      <alignment horizontal="center" wrapText="1"/>
    </xf>
    <xf numFmtId="169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pane ySplit="11" topLeftCell="A72" activePane="bottomLeft" state="frozen"/>
      <selection pane="topLeft" activeCell="A1" sqref="A1"/>
      <selection pane="bottomLeft" activeCell="A65" sqref="A65:A66"/>
    </sheetView>
  </sheetViews>
  <sheetFormatPr defaultColWidth="29.00390625" defaultRowHeight="15"/>
  <cols>
    <col min="1" max="1" width="7.8515625" style="15" bestFit="1" customWidth="1"/>
    <col min="2" max="2" width="63.421875" style="53" customWidth="1"/>
    <col min="3" max="3" width="27.140625" style="1" customWidth="1"/>
    <col min="4" max="17" width="14.7109375" style="1" customWidth="1"/>
    <col min="18" max="16384" width="29.00390625" style="1" customWidth="1"/>
  </cols>
  <sheetData>
    <row r="1" spans="1:17" ht="24.75">
      <c r="A1" s="146" t="s">
        <v>197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32.25" customHeight="1">
      <c r="A2" s="14"/>
      <c r="B2" s="51"/>
      <c r="C2" s="13"/>
      <c r="D2" s="13"/>
      <c r="E2" s="13"/>
      <c r="F2" s="13"/>
      <c r="G2" s="23"/>
      <c r="H2" s="23"/>
      <c r="I2" s="147" t="s">
        <v>536</v>
      </c>
      <c r="J2" s="147"/>
      <c r="K2" s="147"/>
      <c r="L2" s="147"/>
      <c r="M2" s="147"/>
      <c r="N2" s="147"/>
      <c r="O2" s="147"/>
      <c r="P2" s="147"/>
      <c r="Q2" s="147"/>
    </row>
    <row r="3" spans="1:2" ht="14.25" hidden="1">
      <c r="A3" s="16"/>
      <c r="B3" s="52"/>
    </row>
    <row r="4" spans="1:2" ht="14.25" hidden="1">
      <c r="A4" s="17"/>
      <c r="B4" s="52"/>
    </row>
    <row r="5" spans="1:2" ht="14.25" hidden="1">
      <c r="A5" s="17"/>
      <c r="B5" s="52"/>
    </row>
    <row r="6" spans="1:2" ht="14.25" hidden="1">
      <c r="A6" s="17"/>
      <c r="B6" s="52"/>
    </row>
    <row r="7" spans="1:17" ht="17.25" hidden="1">
      <c r="A7" s="153" t="s">
        <v>245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</row>
    <row r="8" spans="1:17" ht="18" hidden="1" thickBot="1">
      <c r="A8" s="154" t="s">
        <v>246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ht="27.75" thickBot="1">
      <c r="A9" s="107" t="s">
        <v>537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7" s="28" customFormat="1" ht="18" thickBot="1">
      <c r="A10" s="110" t="s">
        <v>247</v>
      </c>
      <c r="B10" s="110" t="s">
        <v>198</v>
      </c>
      <c r="C10" s="110" t="s">
        <v>248</v>
      </c>
      <c r="D10" s="112" t="s">
        <v>249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4"/>
    </row>
    <row r="11" spans="1:17" s="28" customFormat="1" ht="18" thickBot="1">
      <c r="A11" s="111"/>
      <c r="B11" s="111"/>
      <c r="C11" s="111"/>
      <c r="D11" s="88">
        <v>2007</v>
      </c>
      <c r="E11" s="88">
        <f>D11+1</f>
        <v>2008</v>
      </c>
      <c r="F11" s="88">
        <f aca="true" t="shared" si="0" ref="F11:Q11">E11+1</f>
        <v>2009</v>
      </c>
      <c r="G11" s="88">
        <f t="shared" si="0"/>
        <v>2010</v>
      </c>
      <c r="H11" s="88">
        <f t="shared" si="0"/>
        <v>2011</v>
      </c>
      <c r="I11" s="88">
        <f t="shared" si="0"/>
        <v>2012</v>
      </c>
      <c r="J11" s="88">
        <f t="shared" si="0"/>
        <v>2013</v>
      </c>
      <c r="K11" s="88">
        <f t="shared" si="0"/>
        <v>2014</v>
      </c>
      <c r="L11" s="88">
        <f t="shared" si="0"/>
        <v>2015</v>
      </c>
      <c r="M11" s="88">
        <f t="shared" si="0"/>
        <v>2016</v>
      </c>
      <c r="N11" s="88">
        <f t="shared" si="0"/>
        <v>2017</v>
      </c>
      <c r="O11" s="88">
        <f t="shared" si="0"/>
        <v>2018</v>
      </c>
      <c r="P11" s="88">
        <f t="shared" si="0"/>
        <v>2019</v>
      </c>
      <c r="Q11" s="88">
        <f t="shared" si="0"/>
        <v>2020</v>
      </c>
    </row>
    <row r="12" spans="1:17" s="92" customFormat="1" ht="18" thickBot="1">
      <c r="A12" s="89">
        <v>1</v>
      </c>
      <c r="B12" s="89">
        <v>2</v>
      </c>
      <c r="C12" s="89">
        <v>3</v>
      </c>
      <c r="D12" s="90">
        <v>4</v>
      </c>
      <c r="E12" s="91">
        <f>D12+1</f>
        <v>5</v>
      </c>
      <c r="F12" s="91">
        <f aca="true" t="shared" si="1" ref="F12:Q12">E12+1</f>
        <v>6</v>
      </c>
      <c r="G12" s="91">
        <f t="shared" si="1"/>
        <v>7</v>
      </c>
      <c r="H12" s="91">
        <f t="shared" si="1"/>
        <v>8</v>
      </c>
      <c r="I12" s="91">
        <f t="shared" si="1"/>
        <v>9</v>
      </c>
      <c r="J12" s="91">
        <f t="shared" si="1"/>
        <v>10</v>
      </c>
      <c r="K12" s="91">
        <f t="shared" si="1"/>
        <v>11</v>
      </c>
      <c r="L12" s="91">
        <f t="shared" si="1"/>
        <v>12</v>
      </c>
      <c r="M12" s="91">
        <f t="shared" si="1"/>
        <v>13</v>
      </c>
      <c r="N12" s="91">
        <f t="shared" si="1"/>
        <v>14</v>
      </c>
      <c r="O12" s="91">
        <f t="shared" si="1"/>
        <v>15</v>
      </c>
      <c r="P12" s="91">
        <f t="shared" si="1"/>
        <v>16</v>
      </c>
      <c r="Q12" s="91">
        <f t="shared" si="1"/>
        <v>17</v>
      </c>
    </row>
    <row r="13" spans="1:17" s="28" customFormat="1" ht="17.25">
      <c r="A13" s="110" t="s">
        <v>250</v>
      </c>
      <c r="B13" s="115" t="s">
        <v>199</v>
      </c>
      <c r="C13" s="26" t="s">
        <v>251</v>
      </c>
      <c r="D13" s="108">
        <v>70.6</v>
      </c>
      <c r="E13" s="108">
        <v>85</v>
      </c>
      <c r="F13" s="108">
        <v>84</v>
      </c>
      <c r="G13" s="108">
        <v>84</v>
      </c>
      <c r="H13" s="108">
        <v>84</v>
      </c>
      <c r="I13" s="108">
        <v>84</v>
      </c>
      <c r="J13" s="108">
        <v>84</v>
      </c>
      <c r="K13" s="108">
        <v>84</v>
      </c>
      <c r="L13" s="108">
        <v>84</v>
      </c>
      <c r="M13" s="108">
        <v>84</v>
      </c>
      <c r="N13" s="108">
        <v>84</v>
      </c>
      <c r="O13" s="108">
        <v>84</v>
      </c>
      <c r="P13" s="108">
        <v>84</v>
      </c>
      <c r="Q13" s="108">
        <v>84</v>
      </c>
    </row>
    <row r="14" spans="1:17" s="28" customFormat="1" ht="18" thickBot="1">
      <c r="A14" s="111"/>
      <c r="B14" s="116"/>
      <c r="C14" s="25" t="s">
        <v>252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s="28" customFormat="1" ht="17.25">
      <c r="A15" s="110" t="s">
        <v>253</v>
      </c>
      <c r="B15" s="127" t="s">
        <v>254</v>
      </c>
      <c r="C15" s="26" t="s">
        <v>255</v>
      </c>
      <c r="D15" s="117">
        <f>D17*0.325+D18*0.172*1000+D20*1.15</f>
        <v>1795167.2199999997</v>
      </c>
      <c r="E15" s="117">
        <f>E17*0.325+E18*0.172*1000+E20*1.15</f>
        <v>1682215.7099999997</v>
      </c>
      <c r="F15" s="117">
        <f>F17*0.325+F18*0.172*1000+F20*1.15</f>
        <v>1721304.52</v>
      </c>
      <c r="G15" s="117">
        <f>G17*0.325+G18*0.172*1000+G20*1.15</f>
        <v>1669665.3844</v>
      </c>
      <c r="H15" s="117">
        <f aca="true" t="shared" si="2" ref="H15:Q15">H17*0.325+H18*0.172*1000+H20*1.15</f>
        <v>1619575.422868</v>
      </c>
      <c r="I15" s="117">
        <f t="shared" si="2"/>
        <v>1619358.972868</v>
      </c>
      <c r="J15" s="117">
        <f t="shared" si="2"/>
        <v>1557494.7728680002</v>
      </c>
      <c r="K15" s="117">
        <f t="shared" si="2"/>
        <v>1512830.572868</v>
      </c>
      <c r="L15" s="117">
        <f t="shared" si="2"/>
        <v>1467445.65568196</v>
      </c>
      <c r="M15" s="117">
        <f t="shared" si="2"/>
        <v>1423422.2860115012</v>
      </c>
      <c r="N15" s="117">
        <f t="shared" si="2"/>
        <v>1380719.6174311563</v>
      </c>
      <c r="O15" s="117">
        <f t="shared" si="2"/>
        <v>1339298.0289082217</v>
      </c>
      <c r="P15" s="117">
        <f t="shared" si="2"/>
        <v>1299119.088040975</v>
      </c>
      <c r="Q15" s="117">
        <f t="shared" si="2"/>
        <v>1260145.5153997457</v>
      </c>
    </row>
    <row r="16" spans="1:17" s="28" customFormat="1" ht="34.5" customHeight="1" thickBot="1">
      <c r="A16" s="111"/>
      <c r="B16" s="116"/>
      <c r="C16" s="25" t="s">
        <v>218</v>
      </c>
      <c r="D16" s="118">
        <f>D17*0.325+D18*0.172+D20*1.15</f>
        <v>910887.06532</v>
      </c>
      <c r="E16" s="118">
        <f>E17*0.325+E18*0.172+E20*1.15</f>
        <v>941150.7567599999</v>
      </c>
      <c r="F16" s="118">
        <f>F17*0.325+F18*0.172+F20*1.15</f>
        <v>976806.44332</v>
      </c>
      <c r="G16" s="118">
        <f>G17*0.325+G18*0.172+G20*1.15</f>
        <v>947502.2500203999</v>
      </c>
      <c r="H16" s="118">
        <f aca="true" t="shared" si="3" ref="H16:Q16">H17*0.325+H18*0.172+H20*1.15</f>
        <v>919077.1825197882</v>
      </c>
      <c r="I16" s="118">
        <f t="shared" si="3"/>
        <v>918860.732519788</v>
      </c>
      <c r="J16" s="118">
        <f t="shared" si="3"/>
        <v>918339.1285197882</v>
      </c>
      <c r="K16" s="118">
        <f t="shared" si="3"/>
        <v>917834.724519788</v>
      </c>
      <c r="L16" s="118">
        <f t="shared" si="3"/>
        <v>890299.6827841944</v>
      </c>
      <c r="M16" s="118">
        <f t="shared" si="3"/>
        <v>863590.6923006686</v>
      </c>
      <c r="N16" s="118">
        <f t="shared" si="3"/>
        <v>837682.9715316487</v>
      </c>
      <c r="O16" s="118">
        <f t="shared" si="3"/>
        <v>812552.4823856992</v>
      </c>
      <c r="P16" s="118">
        <f t="shared" si="3"/>
        <v>788175.907914128</v>
      </c>
      <c r="Q16" s="118">
        <f t="shared" si="3"/>
        <v>764530.6306767042</v>
      </c>
    </row>
    <row r="17" spans="1:17" s="28" customFormat="1" ht="35.25" thickBot="1">
      <c r="A17" s="30" t="s">
        <v>172</v>
      </c>
      <c r="B17" s="31" t="s">
        <v>256</v>
      </c>
      <c r="C17" s="25" t="s">
        <v>200</v>
      </c>
      <c r="D17" s="32">
        <v>1701080</v>
      </c>
      <c r="E17" s="32">
        <v>1758470</v>
      </c>
      <c r="F17" s="33">
        <v>1780380</v>
      </c>
      <c r="G17" s="34">
        <f>F17-F17/100*3</f>
        <v>1726968.6</v>
      </c>
      <c r="H17" s="34">
        <f>G17-G17/100*3</f>
        <v>1675159.5420000001</v>
      </c>
      <c r="I17" s="34">
        <f>H17-666</f>
        <v>1674493.5420000001</v>
      </c>
      <c r="J17" s="34">
        <f>I17-(666+750)</f>
        <v>1673077.5420000001</v>
      </c>
      <c r="K17" s="34">
        <f>J17-(666+750)</f>
        <v>1671661.5420000001</v>
      </c>
      <c r="L17" s="34">
        <f aca="true" t="shared" si="4" ref="L17:Q17">K17-K17/100*3</f>
        <v>1621511.69574</v>
      </c>
      <c r="M17" s="34">
        <f t="shared" si="4"/>
        <v>1572866.3448678001</v>
      </c>
      <c r="N17" s="34">
        <f t="shared" si="4"/>
        <v>1525680.354521766</v>
      </c>
      <c r="O17" s="34">
        <f t="shared" si="4"/>
        <v>1479909.9438861131</v>
      </c>
      <c r="P17" s="34">
        <f t="shared" si="4"/>
        <v>1435512.6455695296</v>
      </c>
      <c r="Q17" s="34">
        <f t="shared" si="4"/>
        <v>1392447.2662024437</v>
      </c>
    </row>
    <row r="18" spans="1:17" s="28" customFormat="1" ht="35.25" thickBot="1">
      <c r="A18" s="30" t="s">
        <v>173</v>
      </c>
      <c r="B18" s="31" t="s">
        <v>257</v>
      </c>
      <c r="C18" s="25" t="s">
        <v>201</v>
      </c>
      <c r="D18" s="32">
        <v>5146.31</v>
      </c>
      <c r="E18" s="32">
        <v>4312.83</v>
      </c>
      <c r="F18" s="33">
        <v>4332.81</v>
      </c>
      <c r="G18" s="34">
        <f>F18-F18/100*3</f>
        <v>4202.8257</v>
      </c>
      <c r="H18" s="34">
        <f>G18-G18/100*3</f>
        <v>4076.7409290000005</v>
      </c>
      <c r="I18" s="34">
        <f>H18</f>
        <v>4076.7409290000005</v>
      </c>
      <c r="J18" s="34">
        <f>I18-357</f>
        <v>3719.7409290000005</v>
      </c>
      <c r="K18" s="34">
        <f>J18-257</f>
        <v>3462.7409290000005</v>
      </c>
      <c r="L18" s="34">
        <f aca="true" t="shared" si="5" ref="L18:Q18">K18-K18/100*3</f>
        <v>3358.8587011300006</v>
      </c>
      <c r="M18" s="34">
        <f t="shared" si="5"/>
        <v>3258.0929400961004</v>
      </c>
      <c r="N18" s="34">
        <f t="shared" si="5"/>
        <v>3160.3501518932176</v>
      </c>
      <c r="O18" s="34">
        <f t="shared" si="5"/>
        <v>3065.5396473364212</v>
      </c>
      <c r="P18" s="34">
        <f t="shared" si="5"/>
        <v>2973.5734579163286</v>
      </c>
      <c r="Q18" s="34">
        <f t="shared" si="5"/>
        <v>2884.366254178839</v>
      </c>
    </row>
    <row r="19" spans="1:17" s="28" customFormat="1" ht="18" thickBot="1">
      <c r="A19" s="30" t="s">
        <v>174</v>
      </c>
      <c r="B19" s="31" t="s">
        <v>202</v>
      </c>
      <c r="C19" s="104" t="s">
        <v>540</v>
      </c>
      <c r="D19" s="32">
        <v>123160</v>
      </c>
      <c r="E19" s="32">
        <v>116651</v>
      </c>
      <c r="F19" s="33">
        <v>109056</v>
      </c>
      <c r="G19" s="34">
        <f aca="true" t="shared" si="6" ref="G19:Q20">F19-F19/100*3</f>
        <v>105784.32</v>
      </c>
      <c r="H19" s="34">
        <f t="shared" si="6"/>
        <v>102610.79040000001</v>
      </c>
      <c r="I19" s="34">
        <f>H19</f>
        <v>102610.79040000001</v>
      </c>
      <c r="J19" s="34">
        <f>I19</f>
        <v>102610.79040000001</v>
      </c>
      <c r="K19" s="34">
        <f>J19</f>
        <v>102610.79040000001</v>
      </c>
      <c r="L19" s="34">
        <f t="shared" si="6"/>
        <v>99532.46668800001</v>
      </c>
      <c r="M19" s="34">
        <f t="shared" si="6"/>
        <v>96546.49268736002</v>
      </c>
      <c r="N19" s="34">
        <f t="shared" si="6"/>
        <v>93650.09790673922</v>
      </c>
      <c r="O19" s="34">
        <f t="shared" si="6"/>
        <v>90840.59496953704</v>
      </c>
      <c r="P19" s="34">
        <f t="shared" si="6"/>
        <v>88115.37712045092</v>
      </c>
      <c r="Q19" s="34">
        <f t="shared" si="6"/>
        <v>85471.9158068374</v>
      </c>
    </row>
    <row r="20" spans="1:17" s="28" customFormat="1" ht="18" thickBot="1">
      <c r="A20" s="30" t="s">
        <v>175</v>
      </c>
      <c r="B20" s="31" t="s">
        <v>203</v>
      </c>
      <c r="C20" s="25" t="s">
        <v>204</v>
      </c>
      <c r="D20" s="32">
        <v>310566</v>
      </c>
      <c r="E20" s="32">
        <v>320788</v>
      </c>
      <c r="F20" s="33">
        <v>345598</v>
      </c>
      <c r="G20" s="34">
        <f t="shared" si="6"/>
        <v>335230.06</v>
      </c>
      <c r="H20" s="34">
        <f t="shared" si="6"/>
        <v>325173.1582</v>
      </c>
      <c r="I20" s="34">
        <f>H20</f>
        <v>325173.1582</v>
      </c>
      <c r="J20" s="34">
        <f>I20</f>
        <v>325173.1582</v>
      </c>
      <c r="K20" s="34">
        <f>J20</f>
        <v>325173.1582</v>
      </c>
      <c r="L20" s="34">
        <f t="shared" si="6"/>
        <v>315417.963454</v>
      </c>
      <c r="M20" s="34">
        <f t="shared" si="6"/>
        <v>305955.42455038003</v>
      </c>
      <c r="N20" s="34">
        <f t="shared" si="6"/>
        <v>296776.76181386865</v>
      </c>
      <c r="O20" s="34">
        <f t="shared" si="6"/>
        <v>287873.4589594526</v>
      </c>
      <c r="P20" s="34">
        <f t="shared" si="6"/>
        <v>279237.255190669</v>
      </c>
      <c r="Q20" s="34">
        <f t="shared" si="6"/>
        <v>270860.1375349489</v>
      </c>
    </row>
    <row r="21" spans="1:17" s="28" customFormat="1" ht="52.5" thickBot="1">
      <c r="A21" s="30" t="s">
        <v>176</v>
      </c>
      <c r="B21" s="35" t="s">
        <v>205</v>
      </c>
      <c r="C21" s="25" t="s">
        <v>206</v>
      </c>
      <c r="D21" s="32">
        <v>860647</v>
      </c>
      <c r="E21" s="32">
        <v>880344</v>
      </c>
      <c r="F21" s="33">
        <v>882025</v>
      </c>
      <c r="G21" s="33">
        <f>G17*0.5</f>
        <v>863484.3</v>
      </c>
      <c r="H21" s="34">
        <f>H17*0.98</f>
        <v>1641656.35116</v>
      </c>
      <c r="I21" s="34">
        <f>I17</f>
        <v>1674493.5420000001</v>
      </c>
      <c r="J21" s="34">
        <f aca="true" t="shared" si="7" ref="J21:Q21">J17</f>
        <v>1673077.5420000001</v>
      </c>
      <c r="K21" s="34">
        <f t="shared" si="7"/>
        <v>1671661.5420000001</v>
      </c>
      <c r="L21" s="34">
        <f t="shared" si="7"/>
        <v>1621511.69574</v>
      </c>
      <c r="M21" s="34">
        <f t="shared" si="7"/>
        <v>1572866.3448678001</v>
      </c>
      <c r="N21" s="34">
        <f t="shared" si="7"/>
        <v>1525680.354521766</v>
      </c>
      <c r="O21" s="34">
        <f t="shared" si="7"/>
        <v>1479909.9438861131</v>
      </c>
      <c r="P21" s="34">
        <f t="shared" si="7"/>
        <v>1435512.6455695296</v>
      </c>
      <c r="Q21" s="34">
        <f t="shared" si="7"/>
        <v>1392447.2662024437</v>
      </c>
    </row>
    <row r="22" spans="1:17" s="28" customFormat="1" ht="52.5" thickBot="1">
      <c r="A22" s="30" t="s">
        <v>177</v>
      </c>
      <c r="B22" s="35" t="s">
        <v>207</v>
      </c>
      <c r="C22" s="25" t="s">
        <v>208</v>
      </c>
      <c r="D22" s="32">
        <v>851</v>
      </c>
      <c r="E22" s="32">
        <v>1630</v>
      </c>
      <c r="F22" s="33">
        <v>2623</v>
      </c>
      <c r="G22" s="34">
        <f>G18*0.95</f>
        <v>3992.684415</v>
      </c>
      <c r="H22" s="34">
        <f>H18</f>
        <v>4076.7409290000005</v>
      </c>
      <c r="I22" s="34">
        <f aca="true" t="shared" si="8" ref="I22:Q22">I18</f>
        <v>4076.7409290000005</v>
      </c>
      <c r="J22" s="34">
        <f t="shared" si="8"/>
        <v>3719.7409290000005</v>
      </c>
      <c r="K22" s="34">
        <f t="shared" si="8"/>
        <v>3462.7409290000005</v>
      </c>
      <c r="L22" s="34">
        <f t="shared" si="8"/>
        <v>3358.8587011300006</v>
      </c>
      <c r="M22" s="34">
        <f t="shared" si="8"/>
        <v>3258.0929400961004</v>
      </c>
      <c r="N22" s="34">
        <f t="shared" si="8"/>
        <v>3160.3501518932176</v>
      </c>
      <c r="O22" s="34">
        <f t="shared" si="8"/>
        <v>3065.5396473364212</v>
      </c>
      <c r="P22" s="34">
        <f t="shared" si="8"/>
        <v>2973.5734579163286</v>
      </c>
      <c r="Q22" s="34">
        <f t="shared" si="8"/>
        <v>2884.366254178839</v>
      </c>
    </row>
    <row r="23" spans="1:17" s="28" customFormat="1" ht="52.5" thickBot="1">
      <c r="A23" s="30" t="s">
        <v>178</v>
      </c>
      <c r="B23" s="35" t="s">
        <v>209</v>
      </c>
      <c r="C23" s="104" t="s">
        <v>540</v>
      </c>
      <c r="D23" s="32">
        <v>20676</v>
      </c>
      <c r="E23" s="32">
        <v>23591</v>
      </c>
      <c r="F23" s="33">
        <v>30849</v>
      </c>
      <c r="G23" s="34">
        <f>G19*0.43</f>
        <v>45487.257600000004</v>
      </c>
      <c r="H23" s="34">
        <f>H19*0.9</f>
        <v>92349.71136000002</v>
      </c>
      <c r="I23" s="34">
        <f>I19</f>
        <v>102610.79040000001</v>
      </c>
      <c r="J23" s="34">
        <f aca="true" t="shared" si="9" ref="J23:Q23">J19</f>
        <v>102610.79040000001</v>
      </c>
      <c r="K23" s="34">
        <f t="shared" si="9"/>
        <v>102610.79040000001</v>
      </c>
      <c r="L23" s="34">
        <f t="shared" si="9"/>
        <v>99532.46668800001</v>
      </c>
      <c r="M23" s="34">
        <f t="shared" si="9"/>
        <v>96546.49268736002</v>
      </c>
      <c r="N23" s="34">
        <f t="shared" si="9"/>
        <v>93650.09790673922</v>
      </c>
      <c r="O23" s="34">
        <f t="shared" si="9"/>
        <v>90840.59496953704</v>
      </c>
      <c r="P23" s="34">
        <f t="shared" si="9"/>
        <v>88115.37712045092</v>
      </c>
      <c r="Q23" s="34">
        <f t="shared" si="9"/>
        <v>85471.9158068374</v>
      </c>
    </row>
    <row r="24" spans="1:17" s="28" customFormat="1" ht="52.5" thickBot="1">
      <c r="A24" s="30" t="s">
        <v>179</v>
      </c>
      <c r="B24" s="35" t="s">
        <v>210</v>
      </c>
      <c r="C24" s="104" t="s">
        <v>540</v>
      </c>
      <c r="D24" s="32">
        <v>60876</v>
      </c>
      <c r="E24" s="32">
        <v>64481</v>
      </c>
      <c r="F24" s="33">
        <v>94220</v>
      </c>
      <c r="G24" s="34">
        <f>G20*0.3</f>
        <v>100569.018</v>
      </c>
      <c r="H24" s="34">
        <f>H20*0.7</f>
        <v>227621.21073999998</v>
      </c>
      <c r="I24" s="34">
        <f>I20</f>
        <v>325173.1582</v>
      </c>
      <c r="J24" s="34">
        <f aca="true" t="shared" si="10" ref="J24:Q24">J20</f>
        <v>325173.1582</v>
      </c>
      <c r="K24" s="34">
        <f t="shared" si="10"/>
        <v>325173.1582</v>
      </c>
      <c r="L24" s="34">
        <f t="shared" si="10"/>
        <v>315417.963454</v>
      </c>
      <c r="M24" s="34">
        <f t="shared" si="10"/>
        <v>305955.42455038003</v>
      </c>
      <c r="N24" s="34">
        <f t="shared" si="10"/>
        <v>296776.76181386865</v>
      </c>
      <c r="O24" s="34">
        <f t="shared" si="10"/>
        <v>287873.4589594526</v>
      </c>
      <c r="P24" s="34">
        <f t="shared" si="10"/>
        <v>279237.255190669</v>
      </c>
      <c r="Q24" s="34">
        <f t="shared" si="10"/>
        <v>270860.1375349489</v>
      </c>
    </row>
    <row r="25" spans="1:17" s="28" customFormat="1" ht="18" thickBot="1">
      <c r="A25" s="30" t="s">
        <v>180</v>
      </c>
      <c r="B25" s="31" t="s">
        <v>211</v>
      </c>
      <c r="C25" s="27" t="s">
        <v>212</v>
      </c>
      <c r="D25" s="36">
        <v>1.38</v>
      </c>
      <c r="E25" s="36">
        <v>1.55</v>
      </c>
      <c r="F25" s="37">
        <v>1.91</v>
      </c>
      <c r="G25" s="38">
        <v>2.09</v>
      </c>
      <c r="H25" s="38">
        <f>G25+G25*0.15</f>
        <v>2.4034999999999997</v>
      </c>
      <c r="I25" s="38">
        <f aca="true" t="shared" si="11" ref="I25:Q25">H25+H25*0.15</f>
        <v>2.7640249999999997</v>
      </c>
      <c r="J25" s="38">
        <f t="shared" si="11"/>
        <v>3.1786287499999997</v>
      </c>
      <c r="K25" s="38">
        <f t="shared" si="11"/>
        <v>3.6554230624999997</v>
      </c>
      <c r="L25" s="38">
        <f t="shared" si="11"/>
        <v>4.203736521874999</v>
      </c>
      <c r="M25" s="38">
        <f t="shared" si="11"/>
        <v>4.8342970001562495</v>
      </c>
      <c r="N25" s="38">
        <f t="shared" si="11"/>
        <v>5.559441550179687</v>
      </c>
      <c r="O25" s="38">
        <f t="shared" si="11"/>
        <v>6.39335778270664</v>
      </c>
      <c r="P25" s="38">
        <f t="shared" si="11"/>
        <v>7.352361450112636</v>
      </c>
      <c r="Q25" s="38">
        <f t="shared" si="11"/>
        <v>8.455215667629531</v>
      </c>
    </row>
    <row r="26" spans="1:17" s="28" customFormat="1" ht="18" thickBot="1">
      <c r="A26" s="30" t="s">
        <v>181</v>
      </c>
      <c r="B26" s="31" t="s">
        <v>213</v>
      </c>
      <c r="C26" s="27" t="s">
        <v>214</v>
      </c>
      <c r="D26" s="36">
        <v>636.99</v>
      </c>
      <c r="E26" s="36">
        <v>777.18</v>
      </c>
      <c r="F26" s="37">
        <v>939.8</v>
      </c>
      <c r="G26" s="38">
        <v>1054.25</v>
      </c>
      <c r="H26" s="38">
        <f aca="true" t="shared" si="12" ref="H26:Q28">G26+G26*0.15</f>
        <v>1212.3875</v>
      </c>
      <c r="I26" s="38">
        <f t="shared" si="12"/>
        <v>1394.245625</v>
      </c>
      <c r="J26" s="38">
        <f t="shared" si="12"/>
        <v>1603.38246875</v>
      </c>
      <c r="K26" s="38">
        <f t="shared" si="12"/>
        <v>1843.8898390625</v>
      </c>
      <c r="L26" s="38">
        <f t="shared" si="12"/>
        <v>2120.473314921875</v>
      </c>
      <c r="M26" s="38">
        <f t="shared" si="12"/>
        <v>2438.544312160156</v>
      </c>
      <c r="N26" s="38">
        <f t="shared" si="12"/>
        <v>2804.3259589841796</v>
      </c>
      <c r="O26" s="38">
        <f t="shared" si="12"/>
        <v>3224.9748528318064</v>
      </c>
      <c r="P26" s="38">
        <f t="shared" si="12"/>
        <v>3708.7210807565775</v>
      </c>
      <c r="Q26" s="38">
        <f t="shared" si="12"/>
        <v>4265.029242870064</v>
      </c>
    </row>
    <row r="27" spans="1:17" s="28" customFormat="1" ht="18" thickBot="1">
      <c r="A27" s="30" t="s">
        <v>182</v>
      </c>
      <c r="B27" s="31" t="s">
        <v>215</v>
      </c>
      <c r="C27" s="105" t="s">
        <v>542</v>
      </c>
      <c r="D27" s="36">
        <v>7.74</v>
      </c>
      <c r="E27" s="36">
        <v>10.06</v>
      </c>
      <c r="F27" s="37">
        <v>12.06</v>
      </c>
      <c r="G27" s="38">
        <v>12.66</v>
      </c>
      <c r="H27" s="38">
        <f t="shared" si="12"/>
        <v>14.559000000000001</v>
      </c>
      <c r="I27" s="38">
        <f t="shared" si="12"/>
        <v>16.74285</v>
      </c>
      <c r="J27" s="38">
        <f t="shared" si="12"/>
        <v>19.2542775</v>
      </c>
      <c r="K27" s="38">
        <f t="shared" si="12"/>
        <v>22.142419125</v>
      </c>
      <c r="L27" s="38">
        <f t="shared" si="12"/>
        <v>25.46378199375</v>
      </c>
      <c r="M27" s="38">
        <f t="shared" si="12"/>
        <v>29.2833492928125</v>
      </c>
      <c r="N27" s="38">
        <f t="shared" si="12"/>
        <v>33.675851686734376</v>
      </c>
      <c r="O27" s="38">
        <f t="shared" si="12"/>
        <v>38.727229439744534</v>
      </c>
      <c r="P27" s="38">
        <f t="shared" si="12"/>
        <v>44.53631385570621</v>
      </c>
      <c r="Q27" s="38">
        <f t="shared" si="12"/>
        <v>51.216760934062144</v>
      </c>
    </row>
    <row r="28" spans="1:17" s="28" customFormat="1" ht="18" thickBot="1">
      <c r="A28" s="30" t="s">
        <v>183</v>
      </c>
      <c r="B28" s="31" t="s">
        <v>216</v>
      </c>
      <c r="C28" s="105" t="s">
        <v>541</v>
      </c>
      <c r="D28" s="36">
        <v>2.39</v>
      </c>
      <c r="E28" s="36">
        <v>3.12</v>
      </c>
      <c r="F28" s="37">
        <v>3.74</v>
      </c>
      <c r="G28" s="38">
        <v>4.99</v>
      </c>
      <c r="H28" s="38">
        <f t="shared" si="12"/>
        <v>5.7385</v>
      </c>
      <c r="I28" s="38">
        <f t="shared" si="12"/>
        <v>6.5992750000000004</v>
      </c>
      <c r="J28" s="38">
        <f t="shared" si="12"/>
        <v>7.589166250000001</v>
      </c>
      <c r="K28" s="38">
        <f t="shared" si="12"/>
        <v>8.727541187500002</v>
      </c>
      <c r="L28" s="38">
        <f t="shared" si="12"/>
        <v>10.036672365625002</v>
      </c>
      <c r="M28" s="38">
        <f t="shared" si="12"/>
        <v>11.542173220468753</v>
      </c>
      <c r="N28" s="38">
        <f t="shared" si="12"/>
        <v>13.273499203539066</v>
      </c>
      <c r="O28" s="38">
        <f t="shared" si="12"/>
        <v>15.264524084069926</v>
      </c>
      <c r="P28" s="38">
        <f t="shared" si="12"/>
        <v>17.554202696680413</v>
      </c>
      <c r="Q28" s="38">
        <f t="shared" si="12"/>
        <v>20.187333101182475</v>
      </c>
    </row>
    <row r="29" spans="1:17" s="28" customFormat="1" ht="52.5" thickBot="1">
      <c r="A29" s="30" t="s">
        <v>184</v>
      </c>
      <c r="B29" s="35" t="s">
        <v>217</v>
      </c>
      <c r="C29" s="25" t="s">
        <v>218</v>
      </c>
      <c r="D29" s="32">
        <v>0</v>
      </c>
      <c r="E29" s="32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v>0</v>
      </c>
      <c r="L29" s="34">
        <v>785</v>
      </c>
      <c r="M29" s="34">
        <f>L29*2</f>
        <v>1570</v>
      </c>
      <c r="N29" s="34">
        <f>M29</f>
        <v>1570</v>
      </c>
      <c r="O29" s="34">
        <f>N29</f>
        <v>1570</v>
      </c>
      <c r="P29" s="34">
        <f>O29</f>
        <v>1570</v>
      </c>
      <c r="Q29" s="34">
        <f>P29</f>
        <v>1570</v>
      </c>
    </row>
    <row r="30" spans="1:17" s="28" customFormat="1" ht="35.25" thickBot="1">
      <c r="A30" s="30" t="s">
        <v>185</v>
      </c>
      <c r="B30" s="35" t="s">
        <v>219</v>
      </c>
      <c r="C30" s="25" t="s">
        <v>218</v>
      </c>
      <c r="D30" s="47">
        <v>742000000</v>
      </c>
      <c r="E30" s="47">
        <v>749000000</v>
      </c>
      <c r="F30" s="48">
        <v>722000000</v>
      </c>
      <c r="G30" s="48">
        <v>722000000</v>
      </c>
      <c r="H30" s="48">
        <v>722000000</v>
      </c>
      <c r="I30" s="48">
        <v>722000000</v>
      </c>
      <c r="J30" s="48">
        <v>722000000</v>
      </c>
      <c r="K30" s="48">
        <v>722000000</v>
      </c>
      <c r="L30" s="48">
        <v>722000000</v>
      </c>
      <c r="M30" s="48">
        <v>722000000</v>
      </c>
      <c r="N30" s="48">
        <v>722000000</v>
      </c>
      <c r="O30" s="48">
        <v>722000000</v>
      </c>
      <c r="P30" s="48">
        <v>722000000</v>
      </c>
      <c r="Q30" s="48">
        <v>722000000</v>
      </c>
    </row>
    <row r="31" spans="1:17" s="28" customFormat="1" ht="52.5" thickBot="1">
      <c r="A31" s="30" t="s">
        <v>186</v>
      </c>
      <c r="B31" s="35" t="s">
        <v>220</v>
      </c>
      <c r="C31" s="25" t="s">
        <v>361</v>
      </c>
      <c r="D31" s="39">
        <v>0</v>
      </c>
      <c r="E31" s="39">
        <v>0</v>
      </c>
      <c r="F31" s="40">
        <v>0.161</v>
      </c>
      <c r="G31" s="24">
        <v>0.025</v>
      </c>
      <c r="H31" s="38">
        <v>0</v>
      </c>
      <c r="I31" s="38">
        <v>0.089</v>
      </c>
      <c r="J31" s="38">
        <v>0.532</v>
      </c>
      <c r="K31" s="38">
        <v>0.365</v>
      </c>
      <c r="L31" s="38">
        <v>0.365</v>
      </c>
      <c r="M31" s="38">
        <v>0.365</v>
      </c>
      <c r="N31" s="38">
        <v>0.365</v>
      </c>
      <c r="O31" s="38">
        <v>0.365</v>
      </c>
      <c r="P31" s="38">
        <v>0.365</v>
      </c>
      <c r="Q31" s="38">
        <v>0.365</v>
      </c>
    </row>
    <row r="32" spans="1:17" s="28" customFormat="1" ht="69.75" thickBot="1">
      <c r="A32" s="30" t="s">
        <v>187</v>
      </c>
      <c r="B32" s="35" t="s">
        <v>221</v>
      </c>
      <c r="C32" s="25" t="s">
        <v>361</v>
      </c>
      <c r="D32" s="24">
        <v>0</v>
      </c>
      <c r="E32" s="24">
        <v>0</v>
      </c>
      <c r="F32" s="24">
        <v>0</v>
      </c>
      <c r="G32" s="24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</row>
    <row r="33" spans="1:17" s="28" customFormat="1" ht="52.5" thickBot="1">
      <c r="A33" s="30" t="s">
        <v>188</v>
      </c>
      <c r="B33" s="31" t="s">
        <v>258</v>
      </c>
      <c r="C33" s="25" t="s">
        <v>222</v>
      </c>
      <c r="D33" s="32">
        <v>174889</v>
      </c>
      <c r="E33" s="32">
        <v>267486</v>
      </c>
      <c r="F33" s="33">
        <v>311942</v>
      </c>
      <c r="G33" s="34">
        <f>F33-F33/100*3+F35</f>
        <v>473396.74</v>
      </c>
      <c r="H33" s="34">
        <f>G33-F33/100*3</f>
        <v>464038.48</v>
      </c>
      <c r="I33" s="34">
        <f>H33-F33/100*3</f>
        <v>454680.22</v>
      </c>
      <c r="J33" s="34">
        <f>I33-F33/100*3</f>
        <v>445321.95999999996</v>
      </c>
      <c r="K33" s="34">
        <f>J33-F33/100*3</f>
        <v>435963.69999999995</v>
      </c>
      <c r="L33" s="34">
        <f>K33-F33/100*3</f>
        <v>426605.43999999994</v>
      </c>
      <c r="M33" s="34">
        <f>L33-K33/100*3</f>
        <v>413526.5289999999</v>
      </c>
      <c r="N33" s="34">
        <f>M33-L33/100*3</f>
        <v>400728.3657999999</v>
      </c>
      <c r="O33" s="34">
        <f>N33-M33/100*3</f>
        <v>388322.56992999994</v>
      </c>
      <c r="P33" s="34">
        <f>O33-N33/100*3</f>
        <v>376300.71895599994</v>
      </c>
      <c r="Q33" s="34">
        <f>P33-O33/100*3</f>
        <v>364651.0418580999</v>
      </c>
    </row>
    <row r="34" spans="1:17" s="28" customFormat="1" ht="52.5" thickBot="1">
      <c r="A34" s="30" t="s">
        <v>189</v>
      </c>
      <c r="B34" s="31" t="s">
        <v>259</v>
      </c>
      <c r="C34" s="25" t="s">
        <v>223</v>
      </c>
      <c r="D34" s="32">
        <v>0</v>
      </c>
      <c r="E34" s="32">
        <f>1097253*0.5</f>
        <v>548626.5</v>
      </c>
      <c r="F34" s="33">
        <f>1097253*0.9</f>
        <v>987527.7000000001</v>
      </c>
      <c r="G34" s="34">
        <v>1097253</v>
      </c>
      <c r="H34" s="34">
        <v>1097253</v>
      </c>
      <c r="I34" s="34">
        <v>1097253</v>
      </c>
      <c r="J34" s="34">
        <v>1097253</v>
      </c>
      <c r="K34" s="34">
        <v>1097253</v>
      </c>
      <c r="L34" s="34">
        <v>1097253</v>
      </c>
      <c r="M34" s="34">
        <v>1097253</v>
      </c>
      <c r="N34" s="34">
        <v>1097253</v>
      </c>
      <c r="O34" s="34">
        <v>1097253</v>
      </c>
      <c r="P34" s="34">
        <v>1097253</v>
      </c>
      <c r="Q34" s="34">
        <v>1097253</v>
      </c>
    </row>
    <row r="35" spans="1:17" s="28" customFormat="1" ht="52.5" thickBot="1">
      <c r="A35" s="30" t="s">
        <v>190</v>
      </c>
      <c r="B35" s="31" t="s">
        <v>260</v>
      </c>
      <c r="C35" s="25" t="s">
        <v>222</v>
      </c>
      <c r="D35" s="32">
        <v>318500</v>
      </c>
      <c r="E35" s="32">
        <v>185070</v>
      </c>
      <c r="F35" s="33">
        <v>170813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</row>
    <row r="36" spans="1:17" s="28" customFormat="1" ht="52.5" thickBot="1">
      <c r="A36" s="30" t="s">
        <v>191</v>
      </c>
      <c r="B36" s="31" t="s">
        <v>261</v>
      </c>
      <c r="C36" s="25" t="s">
        <v>223</v>
      </c>
      <c r="D36" s="32">
        <v>1097253</v>
      </c>
      <c r="E36" s="32">
        <f>D36-E34</f>
        <v>548626.5</v>
      </c>
      <c r="F36" s="33">
        <f>D36-F34</f>
        <v>109725.29999999993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</row>
    <row r="37" spans="1:17" s="28" customFormat="1" ht="52.5" thickBot="1">
      <c r="A37" s="30" t="s">
        <v>192</v>
      </c>
      <c r="B37" s="31" t="s">
        <v>262</v>
      </c>
      <c r="C37" s="104" t="s">
        <v>544</v>
      </c>
      <c r="D37" s="32">
        <v>3278</v>
      </c>
      <c r="E37" s="32">
        <v>3451</v>
      </c>
      <c r="F37" s="33">
        <v>2932</v>
      </c>
      <c r="G37" s="34">
        <f>F37+F39</f>
        <v>7153</v>
      </c>
      <c r="H37" s="34">
        <f>G37-F37/100*3</f>
        <v>7065.04</v>
      </c>
      <c r="I37" s="34">
        <f>H37-F37/100*3</f>
        <v>6977.08</v>
      </c>
      <c r="J37" s="34">
        <f>I37-F37/100*3</f>
        <v>6889.12</v>
      </c>
      <c r="K37" s="34">
        <f>J37-F37/100*3</f>
        <v>6801.16</v>
      </c>
      <c r="L37" s="34">
        <f>K37-F37/100*3</f>
        <v>6713.2</v>
      </c>
      <c r="M37" s="34">
        <f>L37-K37/100*3</f>
        <v>6509.1651999999995</v>
      </c>
      <c r="N37" s="34">
        <f>M37-L37/100*3</f>
        <v>6307.7692</v>
      </c>
      <c r="O37" s="34">
        <f>N37-M37/100*3</f>
        <v>6112.4942439999995</v>
      </c>
      <c r="P37" s="34">
        <f>O37-N37/100*3</f>
        <v>5923.261167999999</v>
      </c>
      <c r="Q37" s="34">
        <f>P37-O37/100*3</f>
        <v>5739.886340679999</v>
      </c>
    </row>
    <row r="38" spans="1:17" s="28" customFormat="1" ht="52.5" thickBot="1">
      <c r="A38" s="30" t="s">
        <v>193</v>
      </c>
      <c r="B38" s="31" t="s">
        <v>263</v>
      </c>
      <c r="C38" s="25" t="s">
        <v>224</v>
      </c>
      <c r="D38" s="34">
        <f>41876*0.43</f>
        <v>18006.68</v>
      </c>
      <c r="E38" s="34">
        <f>41876*0.43</f>
        <v>18006.68</v>
      </c>
      <c r="F38" s="34">
        <f>41876*0.43</f>
        <v>18006.68</v>
      </c>
      <c r="G38" s="34">
        <f>41876*0.95</f>
        <v>39782.2</v>
      </c>
      <c r="H38" s="34">
        <f>41876</f>
        <v>41876</v>
      </c>
      <c r="I38" s="34">
        <f>41876</f>
        <v>41876</v>
      </c>
      <c r="J38" s="34">
        <f>41876</f>
        <v>41876</v>
      </c>
      <c r="K38" s="34">
        <f>41876</f>
        <v>41876</v>
      </c>
      <c r="L38" s="34">
        <f>41876</f>
        <v>41876</v>
      </c>
      <c r="M38" s="34">
        <f>41876</f>
        <v>41876</v>
      </c>
      <c r="N38" s="34">
        <f>41876</f>
        <v>41876</v>
      </c>
      <c r="O38" s="34">
        <f>41876</f>
        <v>41876</v>
      </c>
      <c r="P38" s="34">
        <f>41876</f>
        <v>41876</v>
      </c>
      <c r="Q38" s="34">
        <f>41876</f>
        <v>41876</v>
      </c>
    </row>
    <row r="39" spans="1:17" s="28" customFormat="1" ht="52.5" thickBot="1">
      <c r="A39" s="30" t="s">
        <v>194</v>
      </c>
      <c r="B39" s="31" t="s">
        <v>264</v>
      </c>
      <c r="C39" s="104" t="s">
        <v>544</v>
      </c>
      <c r="D39" s="32">
        <v>4848</v>
      </c>
      <c r="E39" s="32">
        <v>4967</v>
      </c>
      <c r="F39" s="33">
        <v>4221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</row>
    <row r="40" spans="1:17" s="28" customFormat="1" ht="52.5" thickBot="1">
      <c r="A40" s="30" t="s">
        <v>195</v>
      </c>
      <c r="B40" s="31" t="s">
        <v>265</v>
      </c>
      <c r="C40" s="25" t="s">
        <v>224</v>
      </c>
      <c r="D40" s="34">
        <f>41876*0.57</f>
        <v>23869.32</v>
      </c>
      <c r="E40" s="34">
        <f>41876*0.57</f>
        <v>23869.32</v>
      </c>
      <c r="F40" s="34">
        <f>41876*0.57</f>
        <v>23869.32</v>
      </c>
      <c r="G40" s="34">
        <f>41876*0.05</f>
        <v>2093.8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17" s="28" customFormat="1" ht="52.5" thickBot="1">
      <c r="A41" s="29" t="s">
        <v>266</v>
      </c>
      <c r="B41" s="31" t="s">
        <v>267</v>
      </c>
      <c r="C41" s="25" t="s">
        <v>225</v>
      </c>
      <c r="D41" s="47">
        <v>122765543</v>
      </c>
      <c r="E41" s="47">
        <v>126456324</v>
      </c>
      <c r="F41" s="48">
        <v>128536408</v>
      </c>
      <c r="G41" s="49">
        <f>F41+F43</f>
        <v>142256875</v>
      </c>
      <c r="H41" s="49">
        <f>G41-F41/100*3</f>
        <v>138400782.76</v>
      </c>
      <c r="I41" s="49">
        <f>H41-F41/100*3</f>
        <v>134544690.51999998</v>
      </c>
      <c r="J41" s="49">
        <f>I41-F41/100*3</f>
        <v>130688598.27999999</v>
      </c>
      <c r="K41" s="49">
        <f>J41-F41/100*3</f>
        <v>126832506.03999999</v>
      </c>
      <c r="L41" s="49">
        <f>K41-F41/100*3</f>
        <v>122976413.8</v>
      </c>
      <c r="M41" s="49">
        <f>L41-K41/100*3</f>
        <v>119171438.6188</v>
      </c>
      <c r="N41" s="49">
        <f>M41-L41/100*3</f>
        <v>115482146.2048</v>
      </c>
      <c r="O41" s="49">
        <f>N41-M41/100*3</f>
        <v>111907003.046236</v>
      </c>
      <c r="P41" s="49">
        <f>O41-N41/100*3</f>
        <v>108442538.660092</v>
      </c>
      <c r="Q41" s="49">
        <f>P41-O41/100*3</f>
        <v>105085328.56870492</v>
      </c>
    </row>
    <row r="42" spans="1:17" s="28" customFormat="1" ht="52.5" thickBot="1">
      <c r="A42" s="29" t="s">
        <v>268</v>
      </c>
      <c r="B42" s="31" t="s">
        <v>269</v>
      </c>
      <c r="C42" s="104" t="s">
        <v>543</v>
      </c>
      <c r="D42" s="41">
        <f>1097253*0.8</f>
        <v>877802.4</v>
      </c>
      <c r="E42" s="41">
        <f>1097253*0.85</f>
        <v>932665.0499999999</v>
      </c>
      <c r="F42" s="41">
        <f>1097253*0.9</f>
        <v>987527.7000000001</v>
      </c>
      <c r="G42" s="34">
        <f>F42+F44</f>
        <v>1097253</v>
      </c>
      <c r="H42" s="34">
        <f>G42</f>
        <v>1097253</v>
      </c>
      <c r="I42" s="34">
        <f aca="true" t="shared" si="13" ref="I42:Q42">H42</f>
        <v>1097253</v>
      </c>
      <c r="J42" s="34">
        <f t="shared" si="13"/>
        <v>1097253</v>
      </c>
      <c r="K42" s="34">
        <f t="shared" si="13"/>
        <v>1097253</v>
      </c>
      <c r="L42" s="34">
        <f t="shared" si="13"/>
        <v>1097253</v>
      </c>
      <c r="M42" s="34">
        <f t="shared" si="13"/>
        <v>1097253</v>
      </c>
      <c r="N42" s="34">
        <f t="shared" si="13"/>
        <v>1097253</v>
      </c>
      <c r="O42" s="34">
        <f t="shared" si="13"/>
        <v>1097253</v>
      </c>
      <c r="P42" s="34">
        <f t="shared" si="13"/>
        <v>1097253</v>
      </c>
      <c r="Q42" s="34">
        <f t="shared" si="13"/>
        <v>1097253</v>
      </c>
    </row>
    <row r="43" spans="1:17" s="28" customFormat="1" ht="52.5" thickBot="1">
      <c r="A43" s="29" t="s">
        <v>270</v>
      </c>
      <c r="B43" s="31" t="s">
        <v>271</v>
      </c>
      <c r="C43" s="25" t="s">
        <v>225</v>
      </c>
      <c r="D43" s="32">
        <v>15076756</v>
      </c>
      <c r="E43" s="32">
        <v>14072443</v>
      </c>
      <c r="F43" s="33">
        <v>13720467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</row>
    <row r="44" spans="1:17" s="28" customFormat="1" ht="52.5" thickBot="1">
      <c r="A44" s="29" t="s">
        <v>272</v>
      </c>
      <c r="B44" s="31" t="s">
        <v>273</v>
      </c>
      <c r="C44" s="104" t="s">
        <v>543</v>
      </c>
      <c r="D44" s="32">
        <f>1097253-D42</f>
        <v>219450.59999999998</v>
      </c>
      <c r="E44" s="32">
        <f>1097253-E42</f>
        <v>164587.95000000007</v>
      </c>
      <c r="F44" s="33">
        <f>1097253-F42</f>
        <v>109725.29999999993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</row>
    <row r="45" spans="1:17" s="28" customFormat="1" ht="35.25" thickBot="1">
      <c r="A45" s="29" t="s">
        <v>274</v>
      </c>
      <c r="B45" s="31" t="s">
        <v>275</v>
      </c>
      <c r="C45" s="104" t="s">
        <v>540</v>
      </c>
      <c r="D45" s="32">
        <v>21734</v>
      </c>
      <c r="E45" s="32">
        <v>22351</v>
      </c>
      <c r="F45" s="33">
        <v>28849</v>
      </c>
      <c r="G45" s="33">
        <v>28849</v>
      </c>
      <c r="H45" s="34">
        <f>G45-G45/100*3</f>
        <v>27983.53</v>
      </c>
      <c r="I45" s="34">
        <f aca="true" t="shared" si="14" ref="I45:Q46">H45-H45/100*3</f>
        <v>27144.0241</v>
      </c>
      <c r="J45" s="34">
        <f t="shared" si="14"/>
        <v>26329.703376999998</v>
      </c>
      <c r="K45" s="34">
        <f t="shared" si="14"/>
        <v>25539.812275689997</v>
      </c>
      <c r="L45" s="34">
        <f t="shared" si="14"/>
        <v>24773.6179074193</v>
      </c>
      <c r="M45" s="34">
        <f t="shared" si="14"/>
        <v>24030.40937019672</v>
      </c>
      <c r="N45" s="34">
        <f t="shared" si="14"/>
        <v>23309.49708909082</v>
      </c>
      <c r="O45" s="34">
        <f t="shared" si="14"/>
        <v>22610.212176418096</v>
      </c>
      <c r="P45" s="34">
        <f t="shared" si="14"/>
        <v>21931.905811125554</v>
      </c>
      <c r="Q45" s="34">
        <f t="shared" si="14"/>
        <v>21273.94863679179</v>
      </c>
    </row>
    <row r="46" spans="1:17" s="28" customFormat="1" ht="69.75" thickBot="1">
      <c r="A46" s="29" t="s">
        <v>276</v>
      </c>
      <c r="B46" s="31" t="s">
        <v>277</v>
      </c>
      <c r="C46" s="104" t="s">
        <v>540</v>
      </c>
      <c r="D46" s="32">
        <v>20672</v>
      </c>
      <c r="E46" s="32">
        <v>21814</v>
      </c>
      <c r="F46" s="33">
        <v>28369</v>
      </c>
      <c r="G46" s="34">
        <v>28849</v>
      </c>
      <c r="H46" s="34">
        <f>G46-G46/100*3</f>
        <v>27983.53</v>
      </c>
      <c r="I46" s="34">
        <f t="shared" si="14"/>
        <v>27144.0241</v>
      </c>
      <c r="J46" s="34">
        <f t="shared" si="14"/>
        <v>26329.703376999998</v>
      </c>
      <c r="K46" s="34">
        <f t="shared" si="14"/>
        <v>25539.812275689997</v>
      </c>
      <c r="L46" s="34">
        <f t="shared" si="14"/>
        <v>24773.6179074193</v>
      </c>
      <c r="M46" s="34">
        <f t="shared" si="14"/>
        <v>24030.40937019672</v>
      </c>
      <c r="N46" s="34">
        <f t="shared" si="14"/>
        <v>23309.49708909082</v>
      </c>
      <c r="O46" s="34">
        <f t="shared" si="14"/>
        <v>22610.212176418096</v>
      </c>
      <c r="P46" s="34">
        <f t="shared" si="14"/>
        <v>21931.905811125554</v>
      </c>
      <c r="Q46" s="34">
        <f t="shared" si="14"/>
        <v>21273.94863679179</v>
      </c>
    </row>
    <row r="47" spans="1:17" s="28" customFormat="1" ht="17.25">
      <c r="A47" s="110" t="s">
        <v>278</v>
      </c>
      <c r="B47" s="115" t="s">
        <v>226</v>
      </c>
      <c r="C47" s="26" t="s">
        <v>255</v>
      </c>
      <c r="D47" s="121">
        <v>6150008</v>
      </c>
      <c r="E47" s="123">
        <v>9765669.9</v>
      </c>
      <c r="F47" s="119">
        <v>11668559.1</v>
      </c>
      <c r="G47" s="119">
        <v>11501196.1</v>
      </c>
      <c r="H47" s="119">
        <v>12961321.6</v>
      </c>
      <c r="I47" s="119">
        <v>10145802.5</v>
      </c>
      <c r="J47" s="119">
        <v>10145802.5</v>
      </c>
      <c r="K47" s="119">
        <v>10145802.5</v>
      </c>
      <c r="L47" s="119">
        <v>10145802.5</v>
      </c>
      <c r="M47" s="119">
        <v>10145802.5</v>
      </c>
      <c r="N47" s="119">
        <v>10145802.5</v>
      </c>
      <c r="O47" s="119">
        <v>10145802.5</v>
      </c>
      <c r="P47" s="119">
        <v>10145802.5</v>
      </c>
      <c r="Q47" s="119">
        <v>10145802.5</v>
      </c>
    </row>
    <row r="48" spans="1:17" s="28" customFormat="1" ht="18" thickBot="1">
      <c r="A48" s="111"/>
      <c r="B48" s="116"/>
      <c r="C48" s="25" t="s">
        <v>252</v>
      </c>
      <c r="D48" s="122"/>
      <c r="E48" s="124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</row>
    <row r="49" spans="1:17" s="28" customFormat="1" ht="17.25">
      <c r="A49" s="110" t="s">
        <v>279</v>
      </c>
      <c r="B49" s="115" t="s">
        <v>280</v>
      </c>
      <c r="C49" s="26" t="s">
        <v>255</v>
      </c>
      <c r="D49" s="125">
        <v>289002</v>
      </c>
      <c r="E49" s="128">
        <v>318911</v>
      </c>
      <c r="F49" s="129">
        <v>339477</v>
      </c>
      <c r="G49" s="117">
        <v>535538</v>
      </c>
      <c r="H49" s="117">
        <f>G49-F49/100*3</f>
        <v>525353.69</v>
      </c>
      <c r="I49" s="117">
        <f>H49-F49/100*3</f>
        <v>515169.37999999995</v>
      </c>
      <c r="J49" s="117">
        <f>I49-F49/100*3</f>
        <v>504985.06999999995</v>
      </c>
      <c r="K49" s="117">
        <f>J49-F49/100*3</f>
        <v>494800.75999999995</v>
      </c>
      <c r="L49" s="117">
        <f>K49-F49/100*3</f>
        <v>484616.44999999995</v>
      </c>
      <c r="M49" s="117">
        <f>L49-K49/100*3</f>
        <v>469772.4272</v>
      </c>
      <c r="N49" s="117">
        <f>M49-L49/100*3</f>
        <v>455233.9337</v>
      </c>
      <c r="O49" s="117">
        <f>N49-M49/100*3</f>
        <v>441140.760884</v>
      </c>
      <c r="P49" s="117">
        <f>O49-N49/100*3</f>
        <v>427483.742873</v>
      </c>
      <c r="Q49" s="117">
        <f>P49-O49/100*3</f>
        <v>414249.52004648</v>
      </c>
    </row>
    <row r="50" spans="1:17" s="28" customFormat="1" ht="36.75" customHeight="1" thickBot="1">
      <c r="A50" s="111"/>
      <c r="B50" s="116"/>
      <c r="C50" s="25" t="s">
        <v>252</v>
      </c>
      <c r="D50" s="122"/>
      <c r="E50" s="124"/>
      <c r="F50" s="120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</row>
    <row r="51" spans="1:17" s="28" customFormat="1" ht="17.25">
      <c r="A51" s="110" t="s">
        <v>281</v>
      </c>
      <c r="B51" s="115" t="s">
        <v>228</v>
      </c>
      <c r="C51" s="26" t="s">
        <v>255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</row>
    <row r="52" spans="1:17" s="28" customFormat="1" ht="18" thickBot="1">
      <c r="A52" s="111"/>
      <c r="B52" s="116"/>
      <c r="C52" s="25" t="s">
        <v>252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</row>
    <row r="53" spans="1:17" s="28" customFormat="1" ht="18" thickBot="1">
      <c r="A53" s="29" t="s">
        <v>282</v>
      </c>
      <c r="B53" s="31" t="s">
        <v>283</v>
      </c>
      <c r="C53" s="25" t="s">
        <v>284</v>
      </c>
      <c r="D53" s="32">
        <v>431</v>
      </c>
      <c r="E53" s="32">
        <v>426</v>
      </c>
      <c r="F53" s="33">
        <v>421</v>
      </c>
      <c r="G53" s="33">
        <v>421</v>
      </c>
      <c r="H53" s="33">
        <v>421</v>
      </c>
      <c r="I53" s="33">
        <v>421</v>
      </c>
      <c r="J53" s="33">
        <v>421</v>
      </c>
      <c r="K53" s="33">
        <v>421</v>
      </c>
      <c r="L53" s="33">
        <v>421</v>
      </c>
      <c r="M53" s="33">
        <v>421</v>
      </c>
      <c r="N53" s="33">
        <v>421</v>
      </c>
      <c r="O53" s="33">
        <v>421</v>
      </c>
      <c r="P53" s="33">
        <v>421</v>
      </c>
      <c r="Q53" s="33">
        <v>421</v>
      </c>
    </row>
    <row r="54" spans="1:17" s="28" customFormat="1" ht="52.5" thickBot="1">
      <c r="A54" s="29" t="s">
        <v>285</v>
      </c>
      <c r="B54" s="102" t="s">
        <v>546</v>
      </c>
      <c r="C54" s="25" t="s">
        <v>284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34">
        <v>378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378</v>
      </c>
      <c r="P54" s="34">
        <v>0</v>
      </c>
      <c r="Q54" s="34">
        <v>0</v>
      </c>
    </row>
    <row r="55" spans="1:17" s="28" customFormat="1" ht="35.25" thickBot="1">
      <c r="A55" s="29" t="s">
        <v>286</v>
      </c>
      <c r="B55" s="31" t="s">
        <v>230</v>
      </c>
      <c r="C55" s="25" t="s">
        <v>284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34">
        <v>421</v>
      </c>
      <c r="J55" s="34">
        <v>421</v>
      </c>
      <c r="K55" s="34">
        <v>421</v>
      </c>
      <c r="L55" s="34">
        <v>421</v>
      </c>
      <c r="M55" s="34">
        <v>421</v>
      </c>
      <c r="N55" s="34">
        <v>421</v>
      </c>
      <c r="O55" s="34">
        <v>421</v>
      </c>
      <c r="P55" s="34">
        <v>421</v>
      </c>
      <c r="Q55" s="34">
        <v>421</v>
      </c>
    </row>
    <row r="56" spans="1:17" s="28" customFormat="1" ht="18" thickBot="1">
      <c r="A56" s="29" t="s">
        <v>287</v>
      </c>
      <c r="B56" s="31" t="s">
        <v>231</v>
      </c>
      <c r="C56" s="25" t="s">
        <v>284</v>
      </c>
      <c r="D56" s="32">
        <v>460</v>
      </c>
      <c r="E56" s="32">
        <v>460</v>
      </c>
      <c r="F56" s="33">
        <v>453</v>
      </c>
      <c r="G56" s="33">
        <v>453</v>
      </c>
      <c r="H56" s="33">
        <v>453</v>
      </c>
      <c r="I56" s="33">
        <v>453</v>
      </c>
      <c r="J56" s="33">
        <v>453</v>
      </c>
      <c r="K56" s="33">
        <v>453</v>
      </c>
      <c r="L56" s="33">
        <v>453</v>
      </c>
      <c r="M56" s="33">
        <v>453</v>
      </c>
      <c r="N56" s="33">
        <v>453</v>
      </c>
      <c r="O56" s="33">
        <v>453</v>
      </c>
      <c r="P56" s="33">
        <v>453</v>
      </c>
      <c r="Q56" s="33">
        <v>453</v>
      </c>
    </row>
    <row r="57" spans="1:17" s="28" customFormat="1" ht="45" customHeight="1" thickBot="1">
      <c r="A57" s="29" t="s">
        <v>288</v>
      </c>
      <c r="B57" s="31" t="s">
        <v>289</v>
      </c>
      <c r="C57" s="25" t="s">
        <v>284</v>
      </c>
      <c r="D57" s="24">
        <v>0</v>
      </c>
      <c r="E57" s="24">
        <v>0</v>
      </c>
      <c r="F57" s="24">
        <v>0</v>
      </c>
      <c r="G57" s="24">
        <v>0</v>
      </c>
      <c r="H57" s="24">
        <v>40</v>
      </c>
      <c r="I57" s="24">
        <v>453</v>
      </c>
      <c r="J57" s="24">
        <v>453</v>
      </c>
      <c r="K57" s="24">
        <v>453</v>
      </c>
      <c r="L57" s="24">
        <v>453</v>
      </c>
      <c r="M57" s="24">
        <v>453</v>
      </c>
      <c r="N57" s="24">
        <v>453</v>
      </c>
      <c r="O57" s="24">
        <v>453</v>
      </c>
      <c r="P57" s="24">
        <v>453</v>
      </c>
      <c r="Q57" s="24">
        <v>453</v>
      </c>
    </row>
    <row r="58" spans="1:17" s="28" customFormat="1" ht="17.25">
      <c r="A58" s="110" t="s">
        <v>290</v>
      </c>
      <c r="B58" s="115" t="s">
        <v>232</v>
      </c>
      <c r="C58" s="26" t="s">
        <v>255</v>
      </c>
      <c r="D58" s="125">
        <v>2863341</v>
      </c>
      <c r="E58" s="128">
        <v>4143493</v>
      </c>
      <c r="F58" s="129">
        <v>5553663</v>
      </c>
      <c r="G58" s="129">
        <v>5553663</v>
      </c>
      <c r="H58" s="129">
        <v>5553663</v>
      </c>
      <c r="I58" s="129">
        <v>5553663</v>
      </c>
      <c r="J58" s="129">
        <v>5553663</v>
      </c>
      <c r="K58" s="129">
        <v>5553663</v>
      </c>
      <c r="L58" s="129">
        <v>5553663</v>
      </c>
      <c r="M58" s="129">
        <v>5553663</v>
      </c>
      <c r="N58" s="129">
        <v>5553663</v>
      </c>
      <c r="O58" s="129">
        <v>5553663</v>
      </c>
      <c r="P58" s="129">
        <v>5553663</v>
      </c>
      <c r="Q58" s="129">
        <v>5553663</v>
      </c>
    </row>
    <row r="59" spans="1:17" s="28" customFormat="1" ht="18" thickBot="1">
      <c r="A59" s="111"/>
      <c r="B59" s="116"/>
      <c r="C59" s="25" t="s">
        <v>252</v>
      </c>
      <c r="D59" s="122"/>
      <c r="E59" s="124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</row>
    <row r="60" spans="1:17" s="28" customFormat="1" ht="17.25">
      <c r="A60" s="110" t="s">
        <v>291</v>
      </c>
      <c r="B60" s="115" t="s">
        <v>233</v>
      </c>
      <c r="C60" s="26" t="s">
        <v>255</v>
      </c>
      <c r="D60" s="108">
        <v>0</v>
      </c>
      <c r="E60" s="108">
        <v>0</v>
      </c>
      <c r="F60" s="108">
        <v>0</v>
      </c>
      <c r="G60" s="108">
        <v>0</v>
      </c>
      <c r="H60" s="117">
        <f>H58</f>
        <v>5553663</v>
      </c>
      <c r="I60" s="117">
        <f aca="true" t="shared" si="15" ref="I60:Q60">I58</f>
        <v>5553663</v>
      </c>
      <c r="J60" s="117">
        <f t="shared" si="15"/>
        <v>5553663</v>
      </c>
      <c r="K60" s="117">
        <f t="shared" si="15"/>
        <v>5553663</v>
      </c>
      <c r="L60" s="117">
        <f t="shared" si="15"/>
        <v>5553663</v>
      </c>
      <c r="M60" s="117">
        <f t="shared" si="15"/>
        <v>5553663</v>
      </c>
      <c r="N60" s="117">
        <f t="shared" si="15"/>
        <v>5553663</v>
      </c>
      <c r="O60" s="117">
        <f t="shared" si="15"/>
        <v>5553663</v>
      </c>
      <c r="P60" s="117">
        <f t="shared" si="15"/>
        <v>5553663</v>
      </c>
      <c r="Q60" s="117">
        <f t="shared" si="15"/>
        <v>5553663</v>
      </c>
    </row>
    <row r="61" spans="1:17" s="28" customFormat="1" ht="36" customHeight="1" thickBot="1">
      <c r="A61" s="111"/>
      <c r="B61" s="116"/>
      <c r="C61" s="25" t="s">
        <v>252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s="28" customFormat="1" ht="17.25">
      <c r="A62" s="110" t="s">
        <v>292</v>
      </c>
      <c r="B62" s="115" t="s">
        <v>234</v>
      </c>
      <c r="C62" s="26" t="s">
        <v>255</v>
      </c>
      <c r="D62" s="125">
        <v>0</v>
      </c>
      <c r="E62" s="128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29">
        <v>0</v>
      </c>
      <c r="N62" s="129">
        <v>0</v>
      </c>
      <c r="O62" s="129">
        <v>0</v>
      </c>
      <c r="P62" s="129">
        <v>0</v>
      </c>
      <c r="Q62" s="129">
        <v>0</v>
      </c>
    </row>
    <row r="63" spans="1:17" s="28" customFormat="1" ht="18" thickBot="1">
      <c r="A63" s="111"/>
      <c r="B63" s="116"/>
      <c r="C63" s="25" t="s">
        <v>252</v>
      </c>
      <c r="D63" s="126"/>
      <c r="E63" s="145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</row>
    <row r="64" spans="1:17" s="28" customFormat="1" ht="52.5" thickBot="1">
      <c r="A64" s="29" t="s">
        <v>293</v>
      </c>
      <c r="B64" s="31" t="s">
        <v>235</v>
      </c>
      <c r="C64" s="25" t="s">
        <v>224</v>
      </c>
      <c r="D64" s="32">
        <v>28963</v>
      </c>
      <c r="E64" s="32">
        <v>26536</v>
      </c>
      <c r="F64" s="33">
        <v>27451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</row>
    <row r="65" spans="1:17" s="28" customFormat="1" ht="17.25">
      <c r="A65" s="110" t="s">
        <v>294</v>
      </c>
      <c r="B65" s="42"/>
      <c r="C65" s="110" t="s">
        <v>225</v>
      </c>
      <c r="D65" s="121">
        <v>97654723</v>
      </c>
      <c r="E65" s="123">
        <v>97324723</v>
      </c>
      <c r="F65" s="119">
        <v>98372444</v>
      </c>
      <c r="G65" s="119">
        <v>98372444</v>
      </c>
      <c r="H65" s="119">
        <f>G65-G65/100*3</f>
        <v>95421270.68</v>
      </c>
      <c r="I65" s="119">
        <f aca="true" t="shared" si="16" ref="I65:Q65">H65-H65/100*3</f>
        <v>92558632.55960001</v>
      </c>
      <c r="J65" s="119">
        <f t="shared" si="16"/>
        <v>89781873.58281201</v>
      </c>
      <c r="K65" s="119">
        <f t="shared" si="16"/>
        <v>87088417.37532765</v>
      </c>
      <c r="L65" s="119">
        <f t="shared" si="16"/>
        <v>84475764.85406782</v>
      </c>
      <c r="M65" s="119">
        <f t="shared" si="16"/>
        <v>81941491.90844578</v>
      </c>
      <c r="N65" s="119">
        <f t="shared" si="16"/>
        <v>79483247.1511924</v>
      </c>
      <c r="O65" s="119">
        <f t="shared" si="16"/>
        <v>77098749.73665662</v>
      </c>
      <c r="P65" s="119">
        <f t="shared" si="16"/>
        <v>74785787.24455692</v>
      </c>
      <c r="Q65" s="119">
        <f t="shared" si="16"/>
        <v>72542213.62722021</v>
      </c>
    </row>
    <row r="66" spans="1:17" s="28" customFormat="1" ht="50.25" customHeight="1" thickBot="1">
      <c r="A66" s="111"/>
      <c r="B66" s="31" t="s">
        <v>295</v>
      </c>
      <c r="C66" s="111"/>
      <c r="D66" s="122"/>
      <c r="E66" s="124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</row>
    <row r="67" spans="1:17" s="28" customFormat="1" ht="17.25">
      <c r="A67" s="110" t="s">
        <v>296</v>
      </c>
      <c r="B67" s="101"/>
      <c r="C67" s="110" t="s">
        <v>225</v>
      </c>
      <c r="D67" s="125">
        <v>93165349</v>
      </c>
      <c r="E67" s="128">
        <v>93255576</v>
      </c>
      <c r="F67" s="129">
        <v>94587595</v>
      </c>
      <c r="G67" s="108">
        <f>G65*0.98</f>
        <v>96404995.12</v>
      </c>
      <c r="H67" s="108">
        <f>H65*0.98</f>
        <v>93512845.26640001</v>
      </c>
      <c r="I67" s="108">
        <f>I65*0.98</f>
        <v>90707459.90840802</v>
      </c>
      <c r="J67" s="117">
        <f aca="true" t="shared" si="17" ref="J67:Q67">J65</f>
        <v>89781873.58281201</v>
      </c>
      <c r="K67" s="117">
        <f t="shared" si="17"/>
        <v>87088417.37532765</v>
      </c>
      <c r="L67" s="117">
        <f t="shared" si="17"/>
        <v>84475764.85406782</v>
      </c>
      <c r="M67" s="117">
        <f t="shared" si="17"/>
        <v>81941491.90844578</v>
      </c>
      <c r="N67" s="117">
        <f t="shared" si="17"/>
        <v>79483247.1511924</v>
      </c>
      <c r="O67" s="117">
        <f t="shared" si="17"/>
        <v>77098749.73665662</v>
      </c>
      <c r="P67" s="117">
        <f t="shared" si="17"/>
        <v>74785787.24455692</v>
      </c>
      <c r="Q67" s="117">
        <f t="shared" si="17"/>
        <v>72542213.62722021</v>
      </c>
    </row>
    <row r="68" spans="1:17" s="28" customFormat="1" ht="17.25">
      <c r="A68" s="132"/>
      <c r="B68" s="103" t="s">
        <v>539</v>
      </c>
      <c r="C68" s="132"/>
      <c r="D68" s="133"/>
      <c r="E68" s="134"/>
      <c r="F68" s="148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</row>
    <row r="69" spans="1:17" s="28" customFormat="1" ht="53.25" customHeight="1" thickBot="1">
      <c r="A69" s="111"/>
      <c r="B69" s="102" t="s">
        <v>538</v>
      </c>
      <c r="C69" s="111"/>
      <c r="D69" s="122"/>
      <c r="E69" s="124"/>
      <c r="F69" s="120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</row>
    <row r="70" spans="1:17" s="28" customFormat="1" ht="17.25">
      <c r="A70" s="110" t="s">
        <v>297</v>
      </c>
      <c r="B70" s="42"/>
      <c r="C70" s="110" t="s">
        <v>225</v>
      </c>
      <c r="D70" s="136">
        <v>710956288</v>
      </c>
      <c r="E70" s="138">
        <v>718235845</v>
      </c>
      <c r="F70" s="149">
        <v>720577732</v>
      </c>
      <c r="G70" s="130">
        <f>F70-F70/100*3</f>
        <v>698960400.04</v>
      </c>
      <c r="H70" s="130">
        <f aca="true" t="shared" si="18" ref="H70:P70">G70-G70/100*3</f>
        <v>677991588.0388</v>
      </c>
      <c r="I70" s="130">
        <f t="shared" si="18"/>
        <v>657651840.397636</v>
      </c>
      <c r="J70" s="130">
        <f t="shared" si="18"/>
        <v>637922285.185707</v>
      </c>
      <c r="K70" s="130">
        <f t="shared" si="18"/>
        <v>618784616.6301358</v>
      </c>
      <c r="L70" s="130">
        <f t="shared" si="18"/>
        <v>600221078.1312317</v>
      </c>
      <c r="M70" s="130">
        <f t="shared" si="18"/>
        <v>582214445.7872947</v>
      </c>
      <c r="N70" s="130">
        <f t="shared" si="18"/>
        <v>564748012.4136759</v>
      </c>
      <c r="O70" s="130">
        <f t="shared" si="18"/>
        <v>547805572.0412656</v>
      </c>
      <c r="P70" s="130">
        <f t="shared" si="18"/>
        <v>531371404.88002765</v>
      </c>
      <c r="Q70" s="130">
        <f>P70-P70/100*3</f>
        <v>515430262.73362684</v>
      </c>
    </row>
    <row r="71" spans="1:17" s="28" customFormat="1" ht="33" customHeight="1" thickBot="1">
      <c r="A71" s="111"/>
      <c r="B71" s="31" t="s">
        <v>298</v>
      </c>
      <c r="C71" s="111"/>
      <c r="D71" s="151"/>
      <c r="E71" s="152"/>
      <c r="F71" s="150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2" spans="1:17" s="28" customFormat="1" ht="17.25">
      <c r="A72" s="110" t="s">
        <v>299</v>
      </c>
      <c r="B72" s="42"/>
      <c r="C72" s="110" t="s">
        <v>225</v>
      </c>
      <c r="D72" s="136">
        <v>0</v>
      </c>
      <c r="E72" s="138">
        <v>0</v>
      </c>
      <c r="F72" s="149">
        <v>0</v>
      </c>
      <c r="G72" s="130">
        <f>G70*0.3</f>
        <v>209688120.012</v>
      </c>
      <c r="H72" s="130">
        <f>H70*0.5</f>
        <v>338995794.0194</v>
      </c>
      <c r="I72" s="130">
        <f>I70</f>
        <v>657651840.397636</v>
      </c>
      <c r="J72" s="130">
        <f aca="true" t="shared" si="19" ref="J72:P72">J70</f>
        <v>637922285.185707</v>
      </c>
      <c r="K72" s="130">
        <f t="shared" si="19"/>
        <v>618784616.6301358</v>
      </c>
      <c r="L72" s="130">
        <f t="shared" si="19"/>
        <v>600221078.1312317</v>
      </c>
      <c r="M72" s="130">
        <f t="shared" si="19"/>
        <v>582214445.7872947</v>
      </c>
      <c r="N72" s="130">
        <f t="shared" si="19"/>
        <v>564748012.4136759</v>
      </c>
      <c r="O72" s="130">
        <f t="shared" si="19"/>
        <v>547805572.0412656</v>
      </c>
      <c r="P72" s="130">
        <f t="shared" si="19"/>
        <v>531371404.88002765</v>
      </c>
      <c r="Q72" s="130">
        <f>Q70</f>
        <v>515430262.73362684</v>
      </c>
    </row>
    <row r="73" spans="1:17" s="28" customFormat="1" ht="70.5" customHeight="1" thickBot="1">
      <c r="A73" s="111"/>
      <c r="B73" s="31" t="s">
        <v>300</v>
      </c>
      <c r="C73" s="111"/>
      <c r="D73" s="137"/>
      <c r="E73" s="139"/>
      <c r="F73" s="155"/>
      <c r="G73" s="142"/>
      <c r="H73" s="142"/>
      <c r="I73" s="131"/>
      <c r="J73" s="131"/>
      <c r="K73" s="131"/>
      <c r="L73" s="131"/>
      <c r="M73" s="131"/>
      <c r="N73" s="131"/>
      <c r="O73" s="131"/>
      <c r="P73" s="131"/>
      <c r="Q73" s="131"/>
    </row>
    <row r="74" spans="1:17" s="28" customFormat="1" ht="87" thickBot="1">
      <c r="A74" s="29" t="s">
        <v>301</v>
      </c>
      <c r="B74" s="31" t="s">
        <v>302</v>
      </c>
      <c r="C74" s="25" t="s">
        <v>225</v>
      </c>
      <c r="D74" s="47">
        <v>345876454</v>
      </c>
      <c r="E74" s="47">
        <v>350334756</v>
      </c>
      <c r="F74" s="48">
        <v>356697477</v>
      </c>
      <c r="G74" s="49">
        <f>G70*0.7</f>
        <v>489272280.02799994</v>
      </c>
      <c r="H74" s="49">
        <f>H70*0.9</f>
        <v>610192429.23492</v>
      </c>
      <c r="I74" s="49">
        <f>I70</f>
        <v>657651840.397636</v>
      </c>
      <c r="J74" s="49">
        <f aca="true" t="shared" si="20" ref="J74:Q74">J70</f>
        <v>637922285.185707</v>
      </c>
      <c r="K74" s="49">
        <f t="shared" si="20"/>
        <v>618784616.6301358</v>
      </c>
      <c r="L74" s="49">
        <f t="shared" si="20"/>
        <v>600221078.1312317</v>
      </c>
      <c r="M74" s="49">
        <f t="shared" si="20"/>
        <v>582214445.7872947</v>
      </c>
      <c r="N74" s="49">
        <f t="shared" si="20"/>
        <v>564748012.4136759</v>
      </c>
      <c r="O74" s="49">
        <f t="shared" si="20"/>
        <v>547805572.0412656</v>
      </c>
      <c r="P74" s="49">
        <f t="shared" si="20"/>
        <v>531371404.88002765</v>
      </c>
      <c r="Q74" s="50">
        <f t="shared" si="20"/>
        <v>515430262.73362684</v>
      </c>
    </row>
    <row r="75" spans="1:17" s="28" customFormat="1" ht="35.25" thickBot="1">
      <c r="A75" s="29" t="s">
        <v>303</v>
      </c>
      <c r="B75" s="31" t="s">
        <v>304</v>
      </c>
      <c r="C75" s="25" t="s">
        <v>222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41">
        <v>0</v>
      </c>
    </row>
    <row r="76" spans="1:17" s="28" customFormat="1" ht="59.25" customHeight="1" thickBot="1">
      <c r="A76" s="29" t="s">
        <v>305</v>
      </c>
      <c r="B76" s="31" t="s">
        <v>306</v>
      </c>
      <c r="C76" s="25" t="s">
        <v>222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41">
        <v>0</v>
      </c>
    </row>
    <row r="77" spans="1:17" s="28" customFormat="1" ht="35.25" thickBot="1">
      <c r="A77" s="29" t="s">
        <v>307</v>
      </c>
      <c r="B77" s="31" t="s">
        <v>308</v>
      </c>
      <c r="C77" s="25" t="s">
        <v>222</v>
      </c>
      <c r="D77" s="32">
        <v>3481995</v>
      </c>
      <c r="E77" s="32">
        <v>3415525</v>
      </c>
      <c r="F77" s="33">
        <v>3482460</v>
      </c>
      <c r="G77" s="33">
        <v>3482460</v>
      </c>
      <c r="H77" s="34">
        <f>G77-G77/100*3</f>
        <v>3377986.2</v>
      </c>
      <c r="I77" s="34">
        <f aca="true" t="shared" si="21" ref="I77:Q77">H77-H77/100*3</f>
        <v>3276646.614</v>
      </c>
      <c r="J77" s="34">
        <f t="shared" si="21"/>
        <v>3178347.21558</v>
      </c>
      <c r="K77" s="34">
        <f t="shared" si="21"/>
        <v>3082996.7991126003</v>
      </c>
      <c r="L77" s="34">
        <f t="shared" si="21"/>
        <v>2990506.895139222</v>
      </c>
      <c r="M77" s="34">
        <f t="shared" si="21"/>
        <v>2900791.6882850453</v>
      </c>
      <c r="N77" s="34">
        <f t="shared" si="21"/>
        <v>2813767.937636494</v>
      </c>
      <c r="O77" s="34">
        <f t="shared" si="21"/>
        <v>2729354.899507399</v>
      </c>
      <c r="P77" s="34">
        <f t="shared" si="21"/>
        <v>2647474.252522177</v>
      </c>
      <c r="Q77" s="34">
        <f t="shared" si="21"/>
        <v>2568050.0249465117</v>
      </c>
    </row>
    <row r="78" spans="1:17" s="28" customFormat="1" ht="76.5" customHeight="1" thickBot="1">
      <c r="A78" s="29" t="s">
        <v>309</v>
      </c>
      <c r="B78" s="31" t="s">
        <v>310</v>
      </c>
      <c r="C78" s="25" t="s">
        <v>222</v>
      </c>
      <c r="D78" s="32">
        <v>541542</v>
      </c>
      <c r="E78" s="32">
        <v>1064644</v>
      </c>
      <c r="F78" s="33">
        <v>2013805</v>
      </c>
      <c r="G78" s="34">
        <f>G77*0.95</f>
        <v>3308337</v>
      </c>
      <c r="H78" s="34">
        <f>H77</f>
        <v>3377986.2</v>
      </c>
      <c r="I78" s="34">
        <f aca="true" t="shared" si="22" ref="I78:Q78">I77</f>
        <v>3276646.614</v>
      </c>
      <c r="J78" s="34">
        <f t="shared" si="22"/>
        <v>3178347.21558</v>
      </c>
      <c r="K78" s="34">
        <f t="shared" si="22"/>
        <v>3082996.7991126003</v>
      </c>
      <c r="L78" s="34">
        <f t="shared" si="22"/>
        <v>2990506.895139222</v>
      </c>
      <c r="M78" s="34">
        <f t="shared" si="22"/>
        <v>2900791.6882850453</v>
      </c>
      <c r="N78" s="34">
        <f t="shared" si="22"/>
        <v>2813767.937636494</v>
      </c>
      <c r="O78" s="34">
        <f t="shared" si="22"/>
        <v>2729354.899507399</v>
      </c>
      <c r="P78" s="34">
        <f t="shared" si="22"/>
        <v>2647474.252522177</v>
      </c>
      <c r="Q78" s="34">
        <f t="shared" si="22"/>
        <v>2568050.0249465117</v>
      </c>
    </row>
    <row r="79" spans="1:17" s="28" customFormat="1" ht="52.5" thickBot="1">
      <c r="A79" s="29" t="s">
        <v>311</v>
      </c>
      <c r="B79" s="31" t="s">
        <v>312</v>
      </c>
      <c r="C79" s="104" t="s">
        <v>544</v>
      </c>
      <c r="D79" s="41">
        <v>11503.400000000001</v>
      </c>
      <c r="E79" s="41">
        <v>10823.300000000001</v>
      </c>
      <c r="F79" s="41">
        <v>10190.300000000001</v>
      </c>
      <c r="G79" s="34">
        <f>F79-F79/100*3</f>
        <v>9884.591</v>
      </c>
      <c r="H79" s="34">
        <f aca="true" t="shared" si="23" ref="H79:Q81">G79-G79/100*3</f>
        <v>9588.05327</v>
      </c>
      <c r="I79" s="34">
        <f t="shared" si="23"/>
        <v>9300.411671900001</v>
      </c>
      <c r="J79" s="34">
        <f t="shared" si="23"/>
        <v>9021.399321743002</v>
      </c>
      <c r="K79" s="34">
        <f t="shared" si="23"/>
        <v>8750.757342090712</v>
      </c>
      <c r="L79" s="34">
        <f t="shared" si="23"/>
        <v>8488.23462182799</v>
      </c>
      <c r="M79" s="34">
        <f t="shared" si="23"/>
        <v>8233.587583173152</v>
      </c>
      <c r="N79" s="34">
        <f t="shared" si="23"/>
        <v>7986.5799556779575</v>
      </c>
      <c r="O79" s="34">
        <f t="shared" si="23"/>
        <v>7746.982557007619</v>
      </c>
      <c r="P79" s="34">
        <f t="shared" si="23"/>
        <v>7514.57308029739</v>
      </c>
      <c r="Q79" s="34">
        <f t="shared" si="23"/>
        <v>7289.1358878884685</v>
      </c>
    </row>
    <row r="80" spans="1:17" s="28" customFormat="1" ht="87" thickBot="1">
      <c r="A80" s="29" t="s">
        <v>313</v>
      </c>
      <c r="B80" s="31" t="s">
        <v>314</v>
      </c>
      <c r="C80" s="104" t="s">
        <v>544</v>
      </c>
      <c r="D80" s="34">
        <f>D79*0.41</f>
        <v>4716.394</v>
      </c>
      <c r="E80" s="34">
        <f>E79*0.41</f>
        <v>4437.553</v>
      </c>
      <c r="F80" s="34">
        <f>F79*0.41</f>
        <v>4178.023</v>
      </c>
      <c r="G80" s="34">
        <f>G79*0.41</f>
        <v>4052.6823099999997</v>
      </c>
      <c r="H80" s="34">
        <f>H79</f>
        <v>9588.05327</v>
      </c>
      <c r="I80" s="34">
        <f aca="true" t="shared" si="24" ref="I80:Q80">I79</f>
        <v>9300.411671900001</v>
      </c>
      <c r="J80" s="34">
        <f t="shared" si="24"/>
        <v>9021.399321743002</v>
      </c>
      <c r="K80" s="34">
        <f t="shared" si="24"/>
        <v>8750.757342090712</v>
      </c>
      <c r="L80" s="34">
        <f t="shared" si="24"/>
        <v>8488.23462182799</v>
      </c>
      <c r="M80" s="34">
        <f t="shared" si="24"/>
        <v>8233.587583173152</v>
      </c>
      <c r="N80" s="34">
        <f t="shared" si="24"/>
        <v>7986.5799556779575</v>
      </c>
      <c r="O80" s="34">
        <f t="shared" si="24"/>
        <v>7746.982557007619</v>
      </c>
      <c r="P80" s="34">
        <f t="shared" si="24"/>
        <v>7514.57308029739</v>
      </c>
      <c r="Q80" s="34">
        <f t="shared" si="24"/>
        <v>7289.1358878884685</v>
      </c>
    </row>
    <row r="81" spans="1:17" s="28" customFormat="1" ht="35.25" thickBot="1">
      <c r="A81" s="29" t="s">
        <v>315</v>
      </c>
      <c r="B81" s="31" t="s">
        <v>316</v>
      </c>
      <c r="C81" s="104" t="s">
        <v>544</v>
      </c>
      <c r="D81" s="34">
        <v>103530.6</v>
      </c>
      <c r="E81" s="34">
        <v>97409.7</v>
      </c>
      <c r="F81" s="34">
        <v>91712.7</v>
      </c>
      <c r="G81" s="34">
        <f>F81-F81/100*3</f>
        <v>88961.319</v>
      </c>
      <c r="H81" s="34">
        <f t="shared" si="23"/>
        <v>86292.47943</v>
      </c>
      <c r="I81" s="34">
        <f t="shared" si="23"/>
        <v>83703.70504710001</v>
      </c>
      <c r="J81" s="34">
        <f t="shared" si="23"/>
        <v>81192.59389568701</v>
      </c>
      <c r="K81" s="34">
        <f t="shared" si="23"/>
        <v>78756.8160788164</v>
      </c>
      <c r="L81" s="34">
        <f t="shared" si="23"/>
        <v>76394.1115964519</v>
      </c>
      <c r="M81" s="34">
        <f t="shared" si="23"/>
        <v>74102.28824855834</v>
      </c>
      <c r="N81" s="34">
        <f t="shared" si="23"/>
        <v>71879.21960110159</v>
      </c>
      <c r="O81" s="34">
        <f t="shared" si="23"/>
        <v>69722.84301306854</v>
      </c>
      <c r="P81" s="34">
        <f t="shared" si="23"/>
        <v>67631.1577226765</v>
      </c>
      <c r="Q81" s="34">
        <f t="shared" si="23"/>
        <v>65602.2229909962</v>
      </c>
    </row>
    <row r="82" spans="1:17" s="28" customFormat="1" ht="72" customHeight="1" thickBot="1">
      <c r="A82" s="29" t="s">
        <v>317</v>
      </c>
      <c r="B82" s="31" t="s">
        <v>318</v>
      </c>
      <c r="C82" s="104" t="s">
        <v>544</v>
      </c>
      <c r="D82" s="34">
        <f>D81*0.41</f>
        <v>42447.546</v>
      </c>
      <c r="E82" s="34">
        <f>E81*0.41</f>
        <v>39937.977</v>
      </c>
      <c r="F82" s="34">
        <f>F81*0.41</f>
        <v>37602.206999999995</v>
      </c>
      <c r="G82" s="34">
        <f>G81*0.41</f>
        <v>36474.14079</v>
      </c>
      <c r="H82" s="34">
        <f>H81</f>
        <v>86292.47943</v>
      </c>
      <c r="I82" s="34">
        <f aca="true" t="shared" si="25" ref="I82:Q82">I81</f>
        <v>83703.70504710001</v>
      </c>
      <c r="J82" s="34">
        <f t="shared" si="25"/>
        <v>81192.59389568701</v>
      </c>
      <c r="K82" s="34">
        <f t="shared" si="25"/>
        <v>78756.8160788164</v>
      </c>
      <c r="L82" s="34">
        <f t="shared" si="25"/>
        <v>76394.1115964519</v>
      </c>
      <c r="M82" s="34">
        <f t="shared" si="25"/>
        <v>74102.28824855834</v>
      </c>
      <c r="N82" s="34">
        <f t="shared" si="25"/>
        <v>71879.21960110159</v>
      </c>
      <c r="O82" s="34">
        <f t="shared" si="25"/>
        <v>69722.84301306854</v>
      </c>
      <c r="P82" s="34">
        <f t="shared" si="25"/>
        <v>67631.1577226765</v>
      </c>
      <c r="Q82" s="34">
        <f t="shared" si="25"/>
        <v>65602.2229909962</v>
      </c>
    </row>
    <row r="83" spans="1:17" s="28" customFormat="1" ht="87" thickBot="1">
      <c r="A83" s="29" t="s">
        <v>319</v>
      </c>
      <c r="B83" s="31" t="s">
        <v>320</v>
      </c>
      <c r="C83" s="104" t="s">
        <v>544</v>
      </c>
      <c r="D83" s="34">
        <f>D81*0.43</f>
        <v>44518.158</v>
      </c>
      <c r="E83" s="34">
        <f>E81*0.43</f>
        <v>41886.170999999995</v>
      </c>
      <c r="F83" s="34">
        <f>F81*0.43</f>
        <v>39436.460999999996</v>
      </c>
      <c r="G83" s="34">
        <f>G81*0.43</f>
        <v>38253.36717</v>
      </c>
      <c r="H83" s="34">
        <f>H81</f>
        <v>86292.47943</v>
      </c>
      <c r="I83" s="34">
        <f aca="true" t="shared" si="26" ref="I83:Q83">I81</f>
        <v>83703.70504710001</v>
      </c>
      <c r="J83" s="34">
        <f t="shared" si="26"/>
        <v>81192.59389568701</v>
      </c>
      <c r="K83" s="34">
        <f t="shared" si="26"/>
        <v>78756.8160788164</v>
      </c>
      <c r="L83" s="34">
        <f t="shared" si="26"/>
        <v>76394.1115964519</v>
      </c>
      <c r="M83" s="34">
        <f t="shared" si="26"/>
        <v>74102.28824855834</v>
      </c>
      <c r="N83" s="34">
        <f t="shared" si="26"/>
        <v>71879.21960110159</v>
      </c>
      <c r="O83" s="34">
        <f t="shared" si="26"/>
        <v>69722.84301306854</v>
      </c>
      <c r="P83" s="34">
        <f t="shared" si="26"/>
        <v>67631.1577226765</v>
      </c>
      <c r="Q83" s="34">
        <f t="shared" si="26"/>
        <v>65602.2229909962</v>
      </c>
    </row>
    <row r="84" spans="1:17" s="28" customFormat="1" ht="17.25">
      <c r="A84" s="110" t="s">
        <v>321</v>
      </c>
      <c r="B84" s="115" t="s">
        <v>237</v>
      </c>
      <c r="C84" s="26" t="s">
        <v>255</v>
      </c>
      <c r="D84" s="125">
        <f>297737*0.2</f>
        <v>59547.4</v>
      </c>
      <c r="E84" s="128">
        <f>298437*0.2</f>
        <v>59687.4</v>
      </c>
      <c r="F84" s="129">
        <f>316749*0.2</f>
        <v>63349.8</v>
      </c>
      <c r="G84" s="129">
        <f>316749*0.2</f>
        <v>63349.8</v>
      </c>
      <c r="H84" s="117">
        <f>G84-G84/100*3</f>
        <v>61449.306000000004</v>
      </c>
      <c r="I84" s="117">
        <f aca="true" t="shared" si="27" ref="I84:P84">H84-H84/100*3</f>
        <v>59605.82682</v>
      </c>
      <c r="J84" s="117">
        <f t="shared" si="27"/>
        <v>57817.6520154</v>
      </c>
      <c r="K84" s="117">
        <f t="shared" si="27"/>
        <v>56083.122454938006</v>
      </c>
      <c r="L84" s="117">
        <f t="shared" si="27"/>
        <v>54400.628781289866</v>
      </c>
      <c r="M84" s="117">
        <f t="shared" si="27"/>
        <v>52768.60991785117</v>
      </c>
      <c r="N84" s="117">
        <f t="shared" si="27"/>
        <v>51185.55162031564</v>
      </c>
      <c r="O84" s="117">
        <f t="shared" si="27"/>
        <v>49649.98507170617</v>
      </c>
      <c r="P84" s="117">
        <f t="shared" si="27"/>
        <v>48160.48551955498</v>
      </c>
      <c r="Q84" s="117">
        <f>P84-P84/100*3</f>
        <v>46715.670953968336</v>
      </c>
    </row>
    <row r="85" spans="1:17" s="28" customFormat="1" ht="35.25" customHeight="1" thickBot="1">
      <c r="A85" s="111"/>
      <c r="B85" s="116"/>
      <c r="C85" s="104" t="s">
        <v>544</v>
      </c>
      <c r="D85" s="122"/>
      <c r="E85" s="124"/>
      <c r="F85" s="120"/>
      <c r="G85" s="120"/>
      <c r="H85" s="118"/>
      <c r="I85" s="118"/>
      <c r="J85" s="118"/>
      <c r="K85" s="118"/>
      <c r="L85" s="118"/>
      <c r="M85" s="118"/>
      <c r="N85" s="118"/>
      <c r="O85" s="118"/>
      <c r="P85" s="118"/>
      <c r="Q85" s="118"/>
    </row>
    <row r="86" spans="1:17" s="28" customFormat="1" ht="17.25">
      <c r="A86" s="110" t="s">
        <v>322</v>
      </c>
      <c r="B86" s="115" t="s">
        <v>323</v>
      </c>
      <c r="C86" s="26" t="s">
        <v>255</v>
      </c>
      <c r="D86" s="125">
        <f>61872*0.2</f>
        <v>12374.400000000001</v>
      </c>
      <c r="E86" s="128">
        <f>64481*0.2</f>
        <v>12896.2</v>
      </c>
      <c r="F86" s="129">
        <f>94219*0.2</f>
        <v>18843.8</v>
      </c>
      <c r="G86" s="129">
        <f>94219*0.3</f>
        <v>28265.7</v>
      </c>
      <c r="H86" s="129">
        <f>94219*0.4</f>
        <v>37687.6</v>
      </c>
      <c r="I86" s="129">
        <f>I84</f>
        <v>59605.82682</v>
      </c>
      <c r="J86" s="129">
        <f aca="true" t="shared" si="28" ref="J86:P86">J84</f>
        <v>57817.6520154</v>
      </c>
      <c r="K86" s="129">
        <f t="shared" si="28"/>
        <v>56083.122454938006</v>
      </c>
      <c r="L86" s="129">
        <f t="shared" si="28"/>
        <v>54400.628781289866</v>
      </c>
      <c r="M86" s="129">
        <f t="shared" si="28"/>
        <v>52768.60991785117</v>
      </c>
      <c r="N86" s="129">
        <f t="shared" si="28"/>
        <v>51185.55162031564</v>
      </c>
      <c r="O86" s="129">
        <f t="shared" si="28"/>
        <v>49649.98507170617</v>
      </c>
      <c r="P86" s="129">
        <f t="shared" si="28"/>
        <v>48160.48551955498</v>
      </c>
      <c r="Q86" s="129">
        <f>Q84</f>
        <v>46715.670953968336</v>
      </c>
    </row>
    <row r="87" spans="1:17" s="28" customFormat="1" ht="72" customHeight="1" thickBot="1">
      <c r="A87" s="111"/>
      <c r="B87" s="116"/>
      <c r="C87" s="104" t="s">
        <v>544</v>
      </c>
      <c r="D87" s="122"/>
      <c r="E87" s="124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</row>
    <row r="88" spans="1:17" s="28" customFormat="1" ht="51" customHeight="1">
      <c r="A88" s="110" t="s">
        <v>324</v>
      </c>
      <c r="B88" s="42" t="s">
        <v>362</v>
      </c>
      <c r="C88" s="106" t="s">
        <v>540</v>
      </c>
      <c r="D88" s="125">
        <f>297737*0.8</f>
        <v>238189.6</v>
      </c>
      <c r="E88" s="128">
        <f>298437*0.8</f>
        <v>238749.6</v>
      </c>
      <c r="F88" s="129">
        <f>316749*0.8</f>
        <v>253399.2</v>
      </c>
      <c r="G88" s="129">
        <f>316749*0.8</f>
        <v>253399.2</v>
      </c>
      <c r="H88" s="117">
        <f>G88-G88/100*3</f>
        <v>245797.22400000002</v>
      </c>
      <c r="I88" s="117">
        <f aca="true" t="shared" si="29" ref="I88:P88">H88-H88/100*3</f>
        <v>238423.30728</v>
      </c>
      <c r="J88" s="117">
        <f t="shared" si="29"/>
        <v>231270.6080616</v>
      </c>
      <c r="K88" s="117">
        <f t="shared" si="29"/>
        <v>224332.48981975202</v>
      </c>
      <c r="L88" s="117">
        <f t="shared" si="29"/>
        <v>217602.51512515947</v>
      </c>
      <c r="M88" s="117">
        <f t="shared" si="29"/>
        <v>211074.4396714047</v>
      </c>
      <c r="N88" s="117">
        <f t="shared" si="29"/>
        <v>204742.20648126255</v>
      </c>
      <c r="O88" s="117">
        <f t="shared" si="29"/>
        <v>198599.94028682468</v>
      </c>
      <c r="P88" s="117">
        <f t="shared" si="29"/>
        <v>192641.94207821993</v>
      </c>
      <c r="Q88" s="117">
        <f>P88-P88/100*3</f>
        <v>186862.68381587334</v>
      </c>
    </row>
    <row r="89" spans="1:17" s="28" customFormat="1" ht="2.25" customHeight="1" thickBot="1">
      <c r="A89" s="111"/>
      <c r="B89" s="31"/>
      <c r="C89" s="104"/>
      <c r="D89" s="122"/>
      <c r="E89" s="124"/>
      <c r="F89" s="120"/>
      <c r="G89" s="120"/>
      <c r="H89" s="118"/>
      <c r="I89" s="118"/>
      <c r="J89" s="118"/>
      <c r="K89" s="118"/>
      <c r="L89" s="118"/>
      <c r="M89" s="118"/>
      <c r="N89" s="118"/>
      <c r="O89" s="118"/>
      <c r="P89" s="118"/>
      <c r="Q89" s="118"/>
    </row>
    <row r="90" spans="1:17" s="28" customFormat="1" ht="17.25">
      <c r="A90" s="110" t="s">
        <v>325</v>
      </c>
      <c r="B90" s="115" t="s">
        <v>326</v>
      </c>
      <c r="C90" s="26" t="s">
        <v>255</v>
      </c>
      <c r="D90" s="125">
        <f>D88*0.2</f>
        <v>47637.920000000006</v>
      </c>
      <c r="E90" s="125">
        <f>E88*0.2</f>
        <v>47749.920000000006</v>
      </c>
      <c r="F90" s="125">
        <f>F88*0.2</f>
        <v>50679.840000000004</v>
      </c>
      <c r="G90" s="125">
        <f>G88*0.5</f>
        <v>126699.6</v>
      </c>
      <c r="H90" s="125">
        <f>H88*0.7</f>
        <v>172058.0568</v>
      </c>
      <c r="I90" s="125">
        <f>I88</f>
        <v>238423.30728</v>
      </c>
      <c r="J90" s="125">
        <f aca="true" t="shared" si="30" ref="J90:P90">J88</f>
        <v>231270.6080616</v>
      </c>
      <c r="K90" s="125">
        <f t="shared" si="30"/>
        <v>224332.48981975202</v>
      </c>
      <c r="L90" s="125">
        <f t="shared" si="30"/>
        <v>217602.51512515947</v>
      </c>
      <c r="M90" s="125">
        <f t="shared" si="30"/>
        <v>211074.4396714047</v>
      </c>
      <c r="N90" s="125">
        <f t="shared" si="30"/>
        <v>204742.20648126255</v>
      </c>
      <c r="O90" s="125">
        <f t="shared" si="30"/>
        <v>198599.94028682468</v>
      </c>
      <c r="P90" s="125">
        <f t="shared" si="30"/>
        <v>192641.94207821993</v>
      </c>
      <c r="Q90" s="125">
        <f>Q88</f>
        <v>186862.68381587334</v>
      </c>
    </row>
    <row r="91" spans="1:17" s="28" customFormat="1" ht="89.25" customHeight="1" thickBot="1">
      <c r="A91" s="111"/>
      <c r="B91" s="116"/>
      <c r="C91" s="104" t="s">
        <v>544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</row>
    <row r="92" spans="1:17" s="28" customFormat="1" ht="18" thickBot="1">
      <c r="A92" s="29" t="s">
        <v>327</v>
      </c>
      <c r="B92" s="31" t="s">
        <v>328</v>
      </c>
      <c r="C92" s="25" t="s">
        <v>284</v>
      </c>
      <c r="D92" s="32">
        <v>6843</v>
      </c>
      <c r="E92" s="32">
        <v>6945</v>
      </c>
      <c r="F92" s="33">
        <v>7056</v>
      </c>
      <c r="G92" s="24">
        <v>7108</v>
      </c>
      <c r="H92" s="24">
        <v>7108</v>
      </c>
      <c r="I92" s="24">
        <v>7108</v>
      </c>
      <c r="J92" s="24">
        <v>7108</v>
      </c>
      <c r="K92" s="24">
        <v>7108</v>
      </c>
      <c r="L92" s="24">
        <v>7108</v>
      </c>
      <c r="M92" s="24">
        <v>7108</v>
      </c>
      <c r="N92" s="24">
        <v>7108</v>
      </c>
      <c r="O92" s="24">
        <v>7108</v>
      </c>
      <c r="P92" s="24">
        <v>7108</v>
      </c>
      <c r="Q92" s="24">
        <v>7108</v>
      </c>
    </row>
    <row r="93" spans="1:17" s="28" customFormat="1" ht="34.5">
      <c r="A93" s="110" t="s">
        <v>329</v>
      </c>
      <c r="B93" s="42" t="s">
        <v>330</v>
      </c>
      <c r="C93" s="110" t="s">
        <v>284</v>
      </c>
      <c r="D93" s="140">
        <v>0</v>
      </c>
      <c r="E93" s="140">
        <v>0</v>
      </c>
      <c r="F93" s="140">
        <v>0</v>
      </c>
      <c r="G93" s="140">
        <v>0</v>
      </c>
      <c r="H93" s="108">
        <v>1500</v>
      </c>
      <c r="I93" s="108">
        <v>3000</v>
      </c>
      <c r="J93" s="140">
        <f>I93</f>
        <v>3000</v>
      </c>
      <c r="K93" s="140">
        <f>J93</f>
        <v>3000</v>
      </c>
      <c r="L93" s="140">
        <f>K93</f>
        <v>3000</v>
      </c>
      <c r="M93" s="140">
        <v>4500</v>
      </c>
      <c r="N93" s="140">
        <v>5500</v>
      </c>
      <c r="O93" s="140">
        <v>6500</v>
      </c>
      <c r="P93" s="140">
        <v>7108</v>
      </c>
      <c r="Q93" s="140">
        <v>7108</v>
      </c>
    </row>
    <row r="94" spans="1:17" s="28" customFormat="1" ht="18" thickBot="1">
      <c r="A94" s="111"/>
      <c r="B94" s="31" t="s">
        <v>331</v>
      </c>
      <c r="C94" s="11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s="28" customFormat="1" ht="87" thickBot="1">
      <c r="A95" s="29" t="s">
        <v>332</v>
      </c>
      <c r="B95" s="35" t="s">
        <v>333</v>
      </c>
      <c r="C95" s="104" t="s">
        <v>543</v>
      </c>
      <c r="D95" s="32">
        <v>8499000</v>
      </c>
      <c r="E95" s="32">
        <v>12833000</v>
      </c>
      <c r="F95" s="33">
        <f>17413000*0.92</f>
        <v>16019960</v>
      </c>
      <c r="G95" s="33">
        <f>17413000*0.95</f>
        <v>16542350</v>
      </c>
      <c r="H95" s="33">
        <f>17413000*0.98</f>
        <v>17064740</v>
      </c>
      <c r="I95" s="33">
        <f>17413000</f>
        <v>17413000</v>
      </c>
      <c r="J95" s="33">
        <f aca="true" t="shared" si="31" ref="J95:Q95">17413000</f>
        <v>17413000</v>
      </c>
      <c r="K95" s="33">
        <f t="shared" si="31"/>
        <v>17413000</v>
      </c>
      <c r="L95" s="33">
        <f t="shared" si="31"/>
        <v>17413000</v>
      </c>
      <c r="M95" s="33">
        <f t="shared" si="31"/>
        <v>17413000</v>
      </c>
      <c r="N95" s="33">
        <f t="shared" si="31"/>
        <v>17413000</v>
      </c>
      <c r="O95" s="33">
        <f t="shared" si="31"/>
        <v>17413000</v>
      </c>
      <c r="P95" s="33">
        <f t="shared" si="31"/>
        <v>17413000</v>
      </c>
      <c r="Q95" s="33">
        <f t="shared" si="31"/>
        <v>17413000</v>
      </c>
    </row>
    <row r="96" spans="1:17" s="28" customFormat="1" ht="52.5" thickBot="1">
      <c r="A96" s="29" t="s">
        <v>334</v>
      </c>
      <c r="B96" s="35" t="s">
        <v>335</v>
      </c>
      <c r="C96" s="104" t="s">
        <v>543</v>
      </c>
      <c r="D96" s="32">
        <f>17413000-D95</f>
        <v>8914000</v>
      </c>
      <c r="E96" s="32">
        <f>17413000-E95</f>
        <v>4580000</v>
      </c>
      <c r="F96" s="33">
        <f>17413000-F95</f>
        <v>1393040</v>
      </c>
      <c r="G96" s="33">
        <f>17413000-G95</f>
        <v>870650</v>
      </c>
      <c r="H96" s="33">
        <f>17413000-H95</f>
        <v>348260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</row>
    <row r="97" spans="1:17" s="28" customFormat="1" ht="87" thickBot="1">
      <c r="A97" s="29" t="s">
        <v>336</v>
      </c>
      <c r="B97" s="35" t="s">
        <v>337</v>
      </c>
      <c r="C97" s="104" t="s">
        <v>543</v>
      </c>
      <c r="D97" s="32">
        <v>5685000</v>
      </c>
      <c r="E97" s="32">
        <v>6356000</v>
      </c>
      <c r="F97" s="33">
        <f>20997000*0.41</f>
        <v>8608770</v>
      </c>
      <c r="G97" s="33">
        <f>20997000*0.41</f>
        <v>8608770</v>
      </c>
      <c r="H97" s="33">
        <f>20997000*0.7</f>
        <v>14697899.999999998</v>
      </c>
      <c r="I97" s="33">
        <f>20997000</f>
        <v>20997000</v>
      </c>
      <c r="J97" s="33">
        <f aca="true" t="shared" si="32" ref="J97:Q97">20997000</f>
        <v>20997000</v>
      </c>
      <c r="K97" s="33">
        <f t="shared" si="32"/>
        <v>20997000</v>
      </c>
      <c r="L97" s="33">
        <f t="shared" si="32"/>
        <v>20997000</v>
      </c>
      <c r="M97" s="33">
        <f t="shared" si="32"/>
        <v>20997000</v>
      </c>
      <c r="N97" s="33">
        <f t="shared" si="32"/>
        <v>20997000</v>
      </c>
      <c r="O97" s="33">
        <f t="shared" si="32"/>
        <v>20997000</v>
      </c>
      <c r="P97" s="33">
        <f t="shared" si="32"/>
        <v>20997000</v>
      </c>
      <c r="Q97" s="33">
        <f t="shared" si="32"/>
        <v>20997000</v>
      </c>
    </row>
    <row r="98" spans="1:17" s="28" customFormat="1" ht="52.5" thickBot="1">
      <c r="A98" s="29" t="s">
        <v>338</v>
      </c>
      <c r="B98" s="35" t="s">
        <v>239</v>
      </c>
      <c r="C98" s="104" t="s">
        <v>543</v>
      </c>
      <c r="D98" s="41">
        <f>20997000-D97</f>
        <v>15312000</v>
      </c>
      <c r="E98" s="41">
        <f>20997000-E97</f>
        <v>14641000</v>
      </c>
      <c r="F98" s="41">
        <f>20997000-F97</f>
        <v>12388230</v>
      </c>
      <c r="G98" s="41">
        <f>20997000-G97</f>
        <v>12388230</v>
      </c>
      <c r="H98" s="41">
        <f>20997000-H97</f>
        <v>6299100.000000002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</row>
    <row r="99" spans="1:17" s="28" customFormat="1" ht="87" thickBot="1">
      <c r="A99" s="29" t="s">
        <v>339</v>
      </c>
      <c r="B99" s="35" t="s">
        <v>340</v>
      </c>
      <c r="C99" s="25" t="s">
        <v>223</v>
      </c>
      <c r="D99" s="32">
        <v>7385000</v>
      </c>
      <c r="E99" s="32">
        <v>8463000</v>
      </c>
      <c r="F99" s="33">
        <f>20977000*0.43</f>
        <v>9020110</v>
      </c>
      <c r="G99" s="33">
        <f>20977000*0.43</f>
        <v>9020110</v>
      </c>
      <c r="H99" s="33">
        <f>20977000*0.7</f>
        <v>14683900</v>
      </c>
      <c r="I99" s="33">
        <f>20977000</f>
        <v>20977000</v>
      </c>
      <c r="J99" s="33">
        <f aca="true" t="shared" si="33" ref="J99:Q99">20977000</f>
        <v>20977000</v>
      </c>
      <c r="K99" s="33">
        <f t="shared" si="33"/>
        <v>20977000</v>
      </c>
      <c r="L99" s="33">
        <f t="shared" si="33"/>
        <v>20977000</v>
      </c>
      <c r="M99" s="33">
        <f t="shared" si="33"/>
        <v>20977000</v>
      </c>
      <c r="N99" s="33">
        <f t="shared" si="33"/>
        <v>20977000</v>
      </c>
      <c r="O99" s="33">
        <f t="shared" si="33"/>
        <v>20977000</v>
      </c>
      <c r="P99" s="33">
        <f t="shared" si="33"/>
        <v>20977000</v>
      </c>
      <c r="Q99" s="33">
        <f t="shared" si="33"/>
        <v>20977000</v>
      </c>
    </row>
    <row r="100" spans="1:17" s="28" customFormat="1" ht="52.5" thickBot="1">
      <c r="A100" s="29" t="s">
        <v>341</v>
      </c>
      <c r="B100" s="35" t="s">
        <v>342</v>
      </c>
      <c r="C100" s="25" t="s">
        <v>223</v>
      </c>
      <c r="D100" s="41">
        <f>20997000-D99</f>
        <v>13612000</v>
      </c>
      <c r="E100" s="41">
        <f>20997000-E99</f>
        <v>12534000</v>
      </c>
      <c r="F100" s="41">
        <f>20997000-F99</f>
        <v>11976890</v>
      </c>
      <c r="G100" s="41">
        <f>20997000-G99</f>
        <v>11976890</v>
      </c>
      <c r="H100" s="41">
        <f>20997000-H99</f>
        <v>6313100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</row>
    <row r="101" spans="1:17" s="28" customFormat="1" ht="105" thickBot="1">
      <c r="A101" s="29" t="s">
        <v>343</v>
      </c>
      <c r="B101" s="35" t="s">
        <v>344</v>
      </c>
      <c r="C101" s="104" t="s">
        <v>543</v>
      </c>
      <c r="D101" s="41">
        <f>20977000*0.05</f>
        <v>1048850</v>
      </c>
      <c r="E101" s="41">
        <f>20977000*0.06</f>
        <v>1258620</v>
      </c>
      <c r="F101" s="41">
        <f>20977000*0.07</f>
        <v>1468390.0000000002</v>
      </c>
      <c r="G101" s="41">
        <f>20977000*0.1</f>
        <v>2097700</v>
      </c>
      <c r="H101" s="41">
        <f>20977000*0.3</f>
        <v>6293100</v>
      </c>
      <c r="I101" s="41">
        <f>20977000*0.7</f>
        <v>14683900</v>
      </c>
      <c r="J101" s="41">
        <f>20977000</f>
        <v>20977000</v>
      </c>
      <c r="K101" s="41">
        <f aca="true" t="shared" si="34" ref="K101:Q101">20977000</f>
        <v>20977000</v>
      </c>
      <c r="L101" s="41">
        <f t="shared" si="34"/>
        <v>20977000</v>
      </c>
      <c r="M101" s="41">
        <f t="shared" si="34"/>
        <v>20977000</v>
      </c>
      <c r="N101" s="41">
        <f t="shared" si="34"/>
        <v>20977000</v>
      </c>
      <c r="O101" s="41">
        <f t="shared" si="34"/>
        <v>20977000</v>
      </c>
      <c r="P101" s="41">
        <f t="shared" si="34"/>
        <v>20977000</v>
      </c>
      <c r="Q101" s="41">
        <f t="shared" si="34"/>
        <v>20977000</v>
      </c>
    </row>
    <row r="102" spans="1:17" s="28" customFormat="1" ht="52.5" thickBot="1">
      <c r="A102" s="29" t="s">
        <v>345</v>
      </c>
      <c r="B102" s="35" t="s">
        <v>346</v>
      </c>
      <c r="C102" s="104" t="s">
        <v>545</v>
      </c>
      <c r="D102" s="41">
        <f aca="true" t="shared" si="35" ref="D102:I102">20997000-D101</f>
        <v>19948150</v>
      </c>
      <c r="E102" s="41">
        <f t="shared" si="35"/>
        <v>19738380</v>
      </c>
      <c r="F102" s="41">
        <f t="shared" si="35"/>
        <v>19528610</v>
      </c>
      <c r="G102" s="41">
        <f t="shared" si="35"/>
        <v>18899300</v>
      </c>
      <c r="H102" s="41">
        <f t="shared" si="35"/>
        <v>14703900</v>
      </c>
      <c r="I102" s="41">
        <f t="shared" si="35"/>
        <v>6313100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</row>
    <row r="103" spans="1:17" s="28" customFormat="1" ht="35.25" thickBot="1">
      <c r="A103" s="29" t="s">
        <v>347</v>
      </c>
      <c r="B103" s="35" t="s">
        <v>348</v>
      </c>
      <c r="C103" s="25" t="s">
        <v>349</v>
      </c>
      <c r="D103" s="43">
        <v>0.00032</v>
      </c>
      <c r="E103" s="43">
        <v>0.00032</v>
      </c>
      <c r="F103" s="44">
        <v>0.00032</v>
      </c>
      <c r="G103" s="44">
        <v>0.00032</v>
      </c>
      <c r="H103" s="45">
        <f>G103-G103/100*3</f>
        <v>0.0003104</v>
      </c>
      <c r="I103" s="45">
        <f aca="true" t="shared" si="36" ref="I103:Q103">H103-H103/100*3</f>
        <v>0.00030108800000000003</v>
      </c>
      <c r="J103" s="45">
        <f t="shared" si="36"/>
        <v>0.00029205536</v>
      </c>
      <c r="K103" s="45">
        <f t="shared" si="36"/>
        <v>0.00028329369920000004</v>
      </c>
      <c r="L103" s="45">
        <f t="shared" si="36"/>
        <v>0.000274794888224</v>
      </c>
      <c r="M103" s="45">
        <f t="shared" si="36"/>
        <v>0.00026655104157728</v>
      </c>
      <c r="N103" s="45">
        <f t="shared" si="36"/>
        <v>0.0002585545103299616</v>
      </c>
      <c r="O103" s="45">
        <f t="shared" si="36"/>
        <v>0.00025079787502006273</v>
      </c>
      <c r="P103" s="45">
        <f t="shared" si="36"/>
        <v>0.00024327393876946086</v>
      </c>
      <c r="Q103" s="45">
        <f t="shared" si="36"/>
        <v>0.00023597572060637704</v>
      </c>
    </row>
    <row r="104" spans="1:17" s="28" customFormat="1" ht="17.25">
      <c r="A104" s="110" t="s">
        <v>350</v>
      </c>
      <c r="B104" s="143" t="s">
        <v>351</v>
      </c>
      <c r="C104" s="26" t="s">
        <v>352</v>
      </c>
      <c r="D104" s="121">
        <v>190</v>
      </c>
      <c r="E104" s="123">
        <v>190</v>
      </c>
      <c r="F104" s="119">
        <v>190</v>
      </c>
      <c r="G104" s="119">
        <v>190</v>
      </c>
      <c r="H104" s="119">
        <f>G104-G104/100*3</f>
        <v>184.3</v>
      </c>
      <c r="I104" s="119">
        <f aca="true" t="shared" si="37" ref="I104:P104">H104-H104/100*3</f>
        <v>178.77100000000002</v>
      </c>
      <c r="J104" s="119">
        <f t="shared" si="37"/>
        <v>173.40787</v>
      </c>
      <c r="K104" s="119">
        <f t="shared" si="37"/>
        <v>168.2056339</v>
      </c>
      <c r="L104" s="119">
        <f t="shared" si="37"/>
        <v>163.159464883</v>
      </c>
      <c r="M104" s="119">
        <f t="shared" si="37"/>
        <v>158.26468093651</v>
      </c>
      <c r="N104" s="119">
        <f t="shared" si="37"/>
        <v>153.5167405084147</v>
      </c>
      <c r="O104" s="119">
        <f t="shared" si="37"/>
        <v>148.91123829316226</v>
      </c>
      <c r="P104" s="119">
        <f t="shared" si="37"/>
        <v>144.4439011443674</v>
      </c>
      <c r="Q104" s="119">
        <f>P104-P104/100*3</f>
        <v>140.11058411003637</v>
      </c>
    </row>
    <row r="105" spans="1:17" s="28" customFormat="1" ht="18" thickBot="1">
      <c r="A105" s="111"/>
      <c r="B105" s="144"/>
      <c r="C105" s="25" t="s">
        <v>222</v>
      </c>
      <c r="D105" s="126"/>
      <c r="E105" s="145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</row>
    <row r="106" spans="1:17" s="28" customFormat="1" ht="35.25" thickBot="1">
      <c r="A106" s="29" t="s">
        <v>353</v>
      </c>
      <c r="B106" s="35" t="s">
        <v>240</v>
      </c>
      <c r="C106" s="25" t="s">
        <v>225</v>
      </c>
      <c r="D106" s="47">
        <v>244955520</v>
      </c>
      <c r="E106" s="47">
        <v>253219680.00000003</v>
      </c>
      <c r="F106" s="48">
        <v>257471495</v>
      </c>
      <c r="G106" s="48">
        <f>G17*10*14.4</f>
        <v>248683478.4</v>
      </c>
      <c r="H106" s="48">
        <f>H17*10*14.4</f>
        <v>241222974.04800004</v>
      </c>
      <c r="I106" s="48">
        <f>I17*10*13</f>
        <v>217684160.46000004</v>
      </c>
      <c r="J106" s="48">
        <f aca="true" t="shared" si="38" ref="J106:Q106">J17*10*13</f>
        <v>217500080.46000004</v>
      </c>
      <c r="K106" s="48">
        <f t="shared" si="38"/>
        <v>217316000.46000004</v>
      </c>
      <c r="L106" s="48">
        <f t="shared" si="38"/>
        <v>210796520.4462</v>
      </c>
      <c r="M106" s="48">
        <f t="shared" si="38"/>
        <v>204472624.83281404</v>
      </c>
      <c r="N106" s="48">
        <f t="shared" si="38"/>
        <v>198338446.0878296</v>
      </c>
      <c r="O106" s="48">
        <f>O17*10*13</f>
        <v>192388292.7051947</v>
      </c>
      <c r="P106" s="48">
        <f t="shared" si="38"/>
        <v>186616643.92403886</v>
      </c>
      <c r="Q106" s="48">
        <f t="shared" si="38"/>
        <v>181018144.6063177</v>
      </c>
    </row>
    <row r="107" spans="1:17" s="28" customFormat="1" ht="18" thickBot="1">
      <c r="A107" s="29" t="s">
        <v>354</v>
      </c>
      <c r="B107" s="35" t="s">
        <v>241</v>
      </c>
      <c r="C107" s="25" t="s">
        <v>222</v>
      </c>
      <c r="D107" s="32">
        <v>791395</v>
      </c>
      <c r="E107" s="32">
        <v>819324</v>
      </c>
      <c r="F107" s="33">
        <v>932313</v>
      </c>
      <c r="G107" s="34">
        <f>G18*188</f>
        <v>790131.2316</v>
      </c>
      <c r="H107" s="34">
        <f>H18*188</f>
        <v>766427.2946520001</v>
      </c>
      <c r="I107" s="34">
        <f>I18*188</f>
        <v>766427.2946520001</v>
      </c>
      <c r="J107" s="34">
        <f>J18*180</f>
        <v>669553.3672200001</v>
      </c>
      <c r="K107" s="34">
        <f>K18*180</f>
        <v>623293.3672200001</v>
      </c>
      <c r="L107" s="34">
        <f aca="true" t="shared" si="39" ref="L107:Q107">L18*180</f>
        <v>604594.5662034001</v>
      </c>
      <c r="M107" s="34">
        <f t="shared" si="39"/>
        <v>586456.7292172981</v>
      </c>
      <c r="N107" s="34">
        <f t="shared" si="39"/>
        <v>568863.0273407792</v>
      </c>
      <c r="O107" s="34">
        <f t="shared" si="39"/>
        <v>551797.1365205558</v>
      </c>
      <c r="P107" s="34">
        <f t="shared" si="39"/>
        <v>535243.2224249392</v>
      </c>
      <c r="Q107" s="34">
        <f t="shared" si="39"/>
        <v>519185.925752191</v>
      </c>
    </row>
    <row r="108" spans="1:17" s="28" customFormat="1" ht="18" thickBot="1">
      <c r="A108" s="29" t="s">
        <v>355</v>
      </c>
      <c r="B108" s="35" t="s">
        <v>242</v>
      </c>
      <c r="C108" s="104" t="s">
        <v>544</v>
      </c>
      <c r="D108" s="32">
        <v>55471000</v>
      </c>
      <c r="E108" s="32">
        <v>64351000</v>
      </c>
      <c r="F108" s="33">
        <v>56500000</v>
      </c>
      <c r="G108" s="34">
        <f>G19*10*50</f>
        <v>52892160.00000001</v>
      </c>
      <c r="H108" s="34">
        <f>H19*10*50</f>
        <v>51305395.2</v>
      </c>
      <c r="I108" s="34">
        <f>I19*10*50</f>
        <v>51305395.2</v>
      </c>
      <c r="J108" s="34">
        <f>J19*10*50</f>
        <v>51305395.2</v>
      </c>
      <c r="K108" s="34">
        <f aca="true" t="shared" si="40" ref="K108:Q108">K19*10*50</f>
        <v>51305395.2</v>
      </c>
      <c r="L108" s="34">
        <f t="shared" si="40"/>
        <v>49766233.344000004</v>
      </c>
      <c r="M108" s="34">
        <f t="shared" si="40"/>
        <v>48273246.34368001</v>
      </c>
      <c r="N108" s="34">
        <f t="shared" si="40"/>
        <v>46825048.95336961</v>
      </c>
      <c r="O108" s="34">
        <f t="shared" si="40"/>
        <v>45420297.48476852</v>
      </c>
      <c r="P108" s="34">
        <f t="shared" si="40"/>
        <v>44057688.560225464</v>
      </c>
      <c r="Q108" s="34">
        <f t="shared" si="40"/>
        <v>42735957.9034187</v>
      </c>
    </row>
    <row r="109" spans="1:17" s="28" customFormat="1" ht="35.25" thickBot="1">
      <c r="A109" s="29" t="s">
        <v>356</v>
      </c>
      <c r="B109" s="35" t="s">
        <v>243</v>
      </c>
      <c r="C109" s="25" t="s">
        <v>225</v>
      </c>
      <c r="D109" s="47">
        <v>240900000</v>
      </c>
      <c r="E109" s="47">
        <v>236100000</v>
      </c>
      <c r="F109" s="48">
        <v>212800000</v>
      </c>
      <c r="G109" s="49">
        <f>G19*2000</f>
        <v>211568640</v>
      </c>
      <c r="H109" s="50">
        <f>H19*2000</f>
        <v>205221580.8</v>
      </c>
      <c r="I109" s="50">
        <f>I19*2000</f>
        <v>205221580.8</v>
      </c>
      <c r="J109" s="49">
        <f aca="true" t="shared" si="41" ref="J109:Q109">J19*2000</f>
        <v>205221580.8</v>
      </c>
      <c r="K109" s="49">
        <f t="shared" si="41"/>
        <v>205221580.8</v>
      </c>
      <c r="L109" s="49">
        <f t="shared" si="41"/>
        <v>199064933.37600002</v>
      </c>
      <c r="M109" s="49">
        <f t="shared" si="41"/>
        <v>193092985.37472004</v>
      </c>
      <c r="N109" s="49">
        <f t="shared" si="41"/>
        <v>187300195.81347844</v>
      </c>
      <c r="O109" s="49">
        <f t="shared" si="41"/>
        <v>181681189.93907407</v>
      </c>
      <c r="P109" s="49">
        <f t="shared" si="41"/>
        <v>176230754.24090186</v>
      </c>
      <c r="Q109" s="49">
        <f t="shared" si="41"/>
        <v>170943831.6136748</v>
      </c>
    </row>
    <row r="110" spans="1:17" s="28" customFormat="1" ht="87" thickBot="1">
      <c r="A110" s="29" t="s">
        <v>357</v>
      </c>
      <c r="B110" s="35" t="s">
        <v>358</v>
      </c>
      <c r="C110" s="25" t="s">
        <v>284</v>
      </c>
      <c r="D110" s="32">
        <v>0</v>
      </c>
      <c r="E110" s="32">
        <v>0</v>
      </c>
      <c r="F110" s="32">
        <v>0</v>
      </c>
      <c r="G110" s="32">
        <v>0</v>
      </c>
      <c r="H110" s="41">
        <v>0</v>
      </c>
      <c r="I110" s="46">
        <v>0</v>
      </c>
      <c r="J110" s="24">
        <v>43</v>
      </c>
      <c r="K110" s="24">
        <v>45</v>
      </c>
      <c r="L110" s="24">
        <f>K110+45</f>
        <v>90</v>
      </c>
      <c r="M110" s="24">
        <f>L110</f>
        <v>90</v>
      </c>
      <c r="N110" s="24">
        <f>M110</f>
        <v>90</v>
      </c>
      <c r="O110" s="24">
        <f>N110</f>
        <v>90</v>
      </c>
      <c r="P110" s="24">
        <f>O110</f>
        <v>90</v>
      </c>
      <c r="Q110" s="24">
        <f>P110</f>
        <v>90</v>
      </c>
    </row>
    <row r="111" spans="1:17" s="28" customFormat="1" ht="122.25" thickBot="1">
      <c r="A111" s="29" t="s">
        <v>359</v>
      </c>
      <c r="B111" s="35" t="s">
        <v>360</v>
      </c>
      <c r="C111" s="25" t="s">
        <v>284</v>
      </c>
      <c r="D111" s="32">
        <f>1238*0.85</f>
        <v>1052.3</v>
      </c>
      <c r="E111" s="32">
        <f>1338*0.91</f>
        <v>1217.5800000000002</v>
      </c>
      <c r="F111" s="33">
        <f>1387*0.91</f>
        <v>1262.17</v>
      </c>
      <c r="G111" s="33">
        <f>1387*0.91</f>
        <v>1262.17</v>
      </c>
      <c r="H111" s="33">
        <f>1387*0.91</f>
        <v>1262.17</v>
      </c>
      <c r="I111" s="33">
        <f>1387</f>
        <v>1387</v>
      </c>
      <c r="J111" s="33">
        <f>1387</f>
        <v>1387</v>
      </c>
      <c r="K111" s="33">
        <f>1387</f>
        <v>1387</v>
      </c>
      <c r="L111" s="33">
        <f>1387</f>
        <v>1387</v>
      </c>
      <c r="M111" s="33">
        <f>1387</f>
        <v>1387</v>
      </c>
      <c r="N111" s="33">
        <f>1387</f>
        <v>1387</v>
      </c>
      <c r="O111" s="33">
        <f>1387</f>
        <v>1387</v>
      </c>
      <c r="P111" s="33">
        <f>1387</f>
        <v>1387</v>
      </c>
      <c r="Q111" s="33">
        <f>1387</f>
        <v>1387</v>
      </c>
    </row>
    <row r="112" spans="1:2" ht="63" customHeight="1">
      <c r="A112" s="17"/>
      <c r="B112" s="52"/>
    </row>
  </sheetData>
  <sheetProtection/>
  <mergeCells count="296">
    <mergeCell ref="H93:H94"/>
    <mergeCell ref="I93:I94"/>
    <mergeCell ref="J93:J94"/>
    <mergeCell ref="J104:J105"/>
    <mergeCell ref="F104:F105"/>
    <mergeCell ref="G104:G105"/>
    <mergeCell ref="H104:H105"/>
    <mergeCell ref="I104:I105"/>
    <mergeCell ref="O90:O91"/>
    <mergeCell ref="I90:I91"/>
    <mergeCell ref="J90:J91"/>
    <mergeCell ref="K90:K91"/>
    <mergeCell ref="L90:L91"/>
    <mergeCell ref="K104:K105"/>
    <mergeCell ref="L104:L105"/>
    <mergeCell ref="K93:K94"/>
    <mergeCell ref="L93:L94"/>
    <mergeCell ref="M90:M91"/>
    <mergeCell ref="O88:O89"/>
    <mergeCell ref="M93:M94"/>
    <mergeCell ref="M104:M105"/>
    <mergeCell ref="N104:N105"/>
    <mergeCell ref="P88:P89"/>
    <mergeCell ref="O104:O105"/>
    <mergeCell ref="P104:P105"/>
    <mergeCell ref="N93:N94"/>
    <mergeCell ref="O93:O94"/>
    <mergeCell ref="P93:P94"/>
    <mergeCell ref="N84:N85"/>
    <mergeCell ref="P90:P91"/>
    <mergeCell ref="G88:G89"/>
    <mergeCell ref="H88:H89"/>
    <mergeCell ref="I88:I89"/>
    <mergeCell ref="J88:J89"/>
    <mergeCell ref="K88:K89"/>
    <mergeCell ref="L88:L89"/>
    <mergeCell ref="M88:M89"/>
    <mergeCell ref="N88:N89"/>
    <mergeCell ref="N86:N87"/>
    <mergeCell ref="O86:O87"/>
    <mergeCell ref="G86:G87"/>
    <mergeCell ref="H86:H87"/>
    <mergeCell ref="I86:I87"/>
    <mergeCell ref="J86:J87"/>
    <mergeCell ref="P86:P87"/>
    <mergeCell ref="O72:O73"/>
    <mergeCell ref="P72:P73"/>
    <mergeCell ref="G84:G85"/>
    <mergeCell ref="H84:H85"/>
    <mergeCell ref="I84:I85"/>
    <mergeCell ref="J84:J85"/>
    <mergeCell ref="K84:K85"/>
    <mergeCell ref="K86:K87"/>
    <mergeCell ref="L86:L87"/>
    <mergeCell ref="O84:O85"/>
    <mergeCell ref="P84:P85"/>
    <mergeCell ref="P67:P69"/>
    <mergeCell ref="P70:P71"/>
    <mergeCell ref="C65:C66"/>
    <mergeCell ref="M67:M69"/>
    <mergeCell ref="N67:N69"/>
    <mergeCell ref="O67:O69"/>
    <mergeCell ref="K67:K69"/>
    <mergeCell ref="M84:M85"/>
    <mergeCell ref="G67:G69"/>
    <mergeCell ref="H67:H69"/>
    <mergeCell ref="I67:I69"/>
    <mergeCell ref="J67:J69"/>
    <mergeCell ref="H70:H71"/>
    <mergeCell ref="J70:J71"/>
    <mergeCell ref="G70:G71"/>
    <mergeCell ref="I70:I71"/>
    <mergeCell ref="K70:K71"/>
    <mergeCell ref="L70:L71"/>
    <mergeCell ref="L67:L69"/>
    <mergeCell ref="N70:N71"/>
    <mergeCell ref="O70:O71"/>
    <mergeCell ref="M65:M66"/>
    <mergeCell ref="K65:K66"/>
    <mergeCell ref="A65:A66"/>
    <mergeCell ref="G65:G66"/>
    <mergeCell ref="H65:H66"/>
    <mergeCell ref="E65:E66"/>
    <mergeCell ref="D65:D66"/>
    <mergeCell ref="I65:I66"/>
    <mergeCell ref="J65:J66"/>
    <mergeCell ref="Q65:Q66"/>
    <mergeCell ref="O65:O66"/>
    <mergeCell ref="P65:P66"/>
    <mergeCell ref="N65:N66"/>
    <mergeCell ref="L65:L66"/>
    <mergeCell ref="Q62:Q63"/>
    <mergeCell ref="N62:N63"/>
    <mergeCell ref="O62:O63"/>
    <mergeCell ref="P62:P63"/>
    <mergeCell ref="A62:A63"/>
    <mergeCell ref="B62:B63"/>
    <mergeCell ref="D62:D63"/>
    <mergeCell ref="E62:E63"/>
    <mergeCell ref="L62:L63"/>
    <mergeCell ref="M62:M63"/>
    <mergeCell ref="L47:L48"/>
    <mergeCell ref="M47:M48"/>
    <mergeCell ref="N47:N48"/>
    <mergeCell ref="O47:O48"/>
    <mergeCell ref="P60:P61"/>
    <mergeCell ref="G62:G63"/>
    <mergeCell ref="H62:H63"/>
    <mergeCell ref="I62:I63"/>
    <mergeCell ref="J62:J63"/>
    <mergeCell ref="K62:K63"/>
    <mergeCell ref="A7:Q7"/>
    <mergeCell ref="A8:Q8"/>
    <mergeCell ref="F72:F73"/>
    <mergeCell ref="F84:F85"/>
    <mergeCell ref="F86:F87"/>
    <mergeCell ref="F88:F89"/>
    <mergeCell ref="F49:F50"/>
    <mergeCell ref="G49:G50"/>
    <mergeCell ref="J47:J48"/>
    <mergeCell ref="K47:K48"/>
    <mergeCell ref="J49:J50"/>
    <mergeCell ref="K49:K50"/>
    <mergeCell ref="L49:L50"/>
    <mergeCell ref="M49:M50"/>
    <mergeCell ref="F90:F91"/>
    <mergeCell ref="F93:F94"/>
    <mergeCell ref="J60:J61"/>
    <mergeCell ref="K60:K61"/>
    <mergeCell ref="M70:M71"/>
    <mergeCell ref="L84:L85"/>
    <mergeCell ref="A1:Q1"/>
    <mergeCell ref="I2:Q2"/>
    <mergeCell ref="G13:G14"/>
    <mergeCell ref="H13:H14"/>
    <mergeCell ref="F67:F69"/>
    <mergeCell ref="F70:F71"/>
    <mergeCell ref="A70:A71"/>
    <mergeCell ref="C70:C71"/>
    <mergeCell ref="D70:D71"/>
    <mergeCell ref="E70:E71"/>
    <mergeCell ref="Q86:Q87"/>
    <mergeCell ref="A88:A89"/>
    <mergeCell ref="D88:D89"/>
    <mergeCell ref="E88:E89"/>
    <mergeCell ref="Q88:Q89"/>
    <mergeCell ref="M86:M87"/>
    <mergeCell ref="A86:A87"/>
    <mergeCell ref="B86:B87"/>
    <mergeCell ref="D86:D87"/>
    <mergeCell ref="E86:E87"/>
    <mergeCell ref="H72:H73"/>
    <mergeCell ref="A104:A105"/>
    <mergeCell ref="B104:B105"/>
    <mergeCell ref="D104:D105"/>
    <mergeCell ref="E104:E105"/>
    <mergeCell ref="A90:A91"/>
    <mergeCell ref="B90:B91"/>
    <mergeCell ref="G90:G91"/>
    <mergeCell ref="H90:H91"/>
    <mergeCell ref="G93:G94"/>
    <mergeCell ref="Q104:Q105"/>
    <mergeCell ref="F13:F14"/>
    <mergeCell ref="F15:F16"/>
    <mergeCell ref="F60:F61"/>
    <mergeCell ref="F62:F63"/>
    <mergeCell ref="F65:F66"/>
    <mergeCell ref="Q72:Q73"/>
    <mergeCell ref="Q70:Q71"/>
    <mergeCell ref="K72:K73"/>
    <mergeCell ref="G72:G73"/>
    <mergeCell ref="E72:E73"/>
    <mergeCell ref="D90:D91"/>
    <mergeCell ref="E90:E91"/>
    <mergeCell ref="Q90:Q91"/>
    <mergeCell ref="A93:A94"/>
    <mergeCell ref="C93:C94"/>
    <mergeCell ref="D93:D94"/>
    <mergeCell ref="E93:E94"/>
    <mergeCell ref="Q93:Q94"/>
    <mergeCell ref="N90:N91"/>
    <mergeCell ref="L72:L73"/>
    <mergeCell ref="Q84:Q85"/>
    <mergeCell ref="A67:A69"/>
    <mergeCell ref="C67:C69"/>
    <mergeCell ref="D67:D69"/>
    <mergeCell ref="E67:E69"/>
    <mergeCell ref="Q67:Q69"/>
    <mergeCell ref="A72:A73"/>
    <mergeCell ref="C72:C73"/>
    <mergeCell ref="D72:D73"/>
    <mergeCell ref="A58:A59"/>
    <mergeCell ref="B58:B59"/>
    <mergeCell ref="M72:M73"/>
    <mergeCell ref="N72:N73"/>
    <mergeCell ref="A84:A85"/>
    <mergeCell ref="B84:B85"/>
    <mergeCell ref="D84:D85"/>
    <mergeCell ref="E84:E85"/>
    <mergeCell ref="I72:I73"/>
    <mergeCell ref="J72:J73"/>
    <mergeCell ref="D58:D59"/>
    <mergeCell ref="E58:E59"/>
    <mergeCell ref="F58:F59"/>
    <mergeCell ref="G58:G59"/>
    <mergeCell ref="Q58:Q59"/>
    <mergeCell ref="A60:A61"/>
    <mergeCell ref="B60:B61"/>
    <mergeCell ref="D60:D61"/>
    <mergeCell ref="E60:E61"/>
    <mergeCell ref="Q60:Q61"/>
    <mergeCell ref="P58:P59"/>
    <mergeCell ref="G60:G61"/>
    <mergeCell ref="H60:H61"/>
    <mergeCell ref="I60:I61"/>
    <mergeCell ref="M60:M61"/>
    <mergeCell ref="N60:N61"/>
    <mergeCell ref="J58:J59"/>
    <mergeCell ref="K58:K59"/>
    <mergeCell ref="L60:L61"/>
    <mergeCell ref="O60:O61"/>
    <mergeCell ref="L58:L59"/>
    <mergeCell ref="M58:M59"/>
    <mergeCell ref="N58:N59"/>
    <mergeCell ref="O58:O59"/>
    <mergeCell ref="H58:H59"/>
    <mergeCell ref="I58:I59"/>
    <mergeCell ref="A51:A52"/>
    <mergeCell ref="B51:B52"/>
    <mergeCell ref="D51:D52"/>
    <mergeCell ref="E51:E52"/>
    <mergeCell ref="Q51:Q52"/>
    <mergeCell ref="N49:N50"/>
    <mergeCell ref="J51:J52"/>
    <mergeCell ref="K51:K52"/>
    <mergeCell ref="A49:A50"/>
    <mergeCell ref="O49:O50"/>
    <mergeCell ref="P51:P52"/>
    <mergeCell ref="L51:L52"/>
    <mergeCell ref="M51:M52"/>
    <mergeCell ref="N51:N52"/>
    <mergeCell ref="O51:O52"/>
    <mergeCell ref="Q49:Q50"/>
    <mergeCell ref="P49:P50"/>
    <mergeCell ref="A15:A16"/>
    <mergeCell ref="B15:B16"/>
    <mergeCell ref="D15:D16"/>
    <mergeCell ref="E15:E16"/>
    <mergeCell ref="B49:B50"/>
    <mergeCell ref="D49:D50"/>
    <mergeCell ref="E49:E50"/>
    <mergeCell ref="F51:F52"/>
    <mergeCell ref="G51:G52"/>
    <mergeCell ref="H51:H52"/>
    <mergeCell ref="I51:I52"/>
    <mergeCell ref="F47:F48"/>
    <mergeCell ref="G47:G48"/>
    <mergeCell ref="H47:H48"/>
    <mergeCell ref="I47:I48"/>
    <mergeCell ref="H49:H50"/>
    <mergeCell ref="I49:I50"/>
    <mergeCell ref="P47:P48"/>
    <mergeCell ref="Q15:Q16"/>
    <mergeCell ref="A47:A48"/>
    <mergeCell ref="B47:B48"/>
    <mergeCell ref="D47:D48"/>
    <mergeCell ref="E47:E48"/>
    <mergeCell ref="Q47:Q48"/>
    <mergeCell ref="G15:G16"/>
    <mergeCell ref="H15:H16"/>
    <mergeCell ref="I15:I16"/>
    <mergeCell ref="L15:L16"/>
    <mergeCell ref="M15:M16"/>
    <mergeCell ref="N15:N16"/>
    <mergeCell ref="O15:O16"/>
    <mergeCell ref="P15:P16"/>
    <mergeCell ref="J15:J16"/>
    <mergeCell ref="K15:K16"/>
    <mergeCell ref="B13:B14"/>
    <mergeCell ref="D13:D14"/>
    <mergeCell ref="E13:E14"/>
    <mergeCell ref="Q13:Q14"/>
    <mergeCell ref="I13:I14"/>
    <mergeCell ref="P13:P14"/>
    <mergeCell ref="J13:J14"/>
    <mergeCell ref="O13:O14"/>
    <mergeCell ref="A9:Q9"/>
    <mergeCell ref="K13:K14"/>
    <mergeCell ref="L13:L14"/>
    <mergeCell ref="M13:M14"/>
    <mergeCell ref="N13:N14"/>
    <mergeCell ref="A10:A11"/>
    <mergeCell ref="B10:B11"/>
    <mergeCell ref="C10:C11"/>
    <mergeCell ref="D10:Q10"/>
    <mergeCell ref="A13:A14"/>
  </mergeCells>
  <printOptions horizontalCentered="1" verticalCentered="1"/>
  <pageMargins left="0.2362204724409449" right="0.15748031496062992" top="0.5511811023622047" bottom="0.25" header="0.35433070866141736" footer="0.31496062992125984"/>
  <pageSetup horizontalDpi="600" verticalDpi="600" orientation="landscape" paperSize="9" scale="45" r:id="rId1"/>
  <rowBreaks count="2" manualBreakCount="2">
    <brk id="66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9"/>
  <sheetViews>
    <sheetView view="pageLayout" zoomScale="60" zoomScaleNormal="60" zoomScalePageLayoutView="60" workbookViewId="0" topLeftCell="A147">
      <selection activeCell="D8" sqref="D8"/>
    </sheetView>
  </sheetViews>
  <sheetFormatPr defaultColWidth="9.140625" defaultRowHeight="15"/>
  <cols>
    <col min="1" max="1" width="10.57421875" style="0" customWidth="1"/>
    <col min="2" max="2" width="66.421875" style="81" customWidth="1"/>
    <col min="3" max="3" width="13.57421875" style="0" customWidth="1"/>
    <col min="4" max="4" width="23.421875" style="0" customWidth="1"/>
    <col min="5" max="18" width="13.140625" style="72" customWidth="1"/>
    <col min="19" max="19" width="50.421875" style="54" customWidth="1"/>
  </cols>
  <sheetData>
    <row r="1" ht="18">
      <c r="A1" s="2"/>
    </row>
    <row r="2" ht="17.25">
      <c r="A2" s="3"/>
    </row>
    <row r="3" ht="17.25">
      <c r="A3" s="3"/>
    </row>
    <row r="4" spans="1:19" ht="24.75">
      <c r="A4" s="18"/>
      <c r="C4" s="146" t="s">
        <v>83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ht="27.75" customHeight="1">
      <c r="A5" s="4"/>
      <c r="C5" s="14"/>
      <c r="D5" s="51"/>
      <c r="E5" s="13"/>
      <c r="F5" s="13"/>
      <c r="G5" s="13"/>
      <c r="H5" s="13"/>
      <c r="I5" s="23"/>
      <c r="J5" s="23"/>
      <c r="K5" s="147" t="s">
        <v>536</v>
      </c>
      <c r="L5" s="147"/>
      <c r="M5" s="147"/>
      <c r="N5" s="147"/>
      <c r="O5" s="147"/>
      <c r="P5" s="147"/>
      <c r="Q5" s="147"/>
      <c r="R5" s="147"/>
      <c r="S5" s="147"/>
    </row>
    <row r="6" spans="1:19" ht="28.5" thickBot="1">
      <c r="A6" s="164" t="s">
        <v>82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ht="18" thickBot="1">
      <c r="A7" s="173" t="s">
        <v>363</v>
      </c>
      <c r="B7" s="171" t="s">
        <v>364</v>
      </c>
      <c r="C7" s="173" t="s">
        <v>248</v>
      </c>
      <c r="D7" s="20" t="s">
        <v>365</v>
      </c>
      <c r="E7" s="175" t="s">
        <v>366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8" t="s">
        <v>367</v>
      </c>
    </row>
    <row r="8" spans="1:19" ht="36" thickBot="1">
      <c r="A8" s="174"/>
      <c r="B8" s="172"/>
      <c r="C8" s="174"/>
      <c r="D8" s="21" t="s">
        <v>547</v>
      </c>
      <c r="E8" s="55">
        <v>2007</v>
      </c>
      <c r="F8" s="55">
        <f>E8+1</f>
        <v>2008</v>
      </c>
      <c r="G8" s="55">
        <f aca="true" t="shared" si="0" ref="G8:R8">F8+1</f>
        <v>2009</v>
      </c>
      <c r="H8" s="55">
        <f t="shared" si="0"/>
        <v>2010</v>
      </c>
      <c r="I8" s="55">
        <f t="shared" si="0"/>
        <v>2011</v>
      </c>
      <c r="J8" s="55">
        <f t="shared" si="0"/>
        <v>2012</v>
      </c>
      <c r="K8" s="55">
        <f t="shared" si="0"/>
        <v>2013</v>
      </c>
      <c r="L8" s="55">
        <f t="shared" si="0"/>
        <v>2014</v>
      </c>
      <c r="M8" s="55">
        <f t="shared" si="0"/>
        <v>2015</v>
      </c>
      <c r="N8" s="55">
        <f t="shared" si="0"/>
        <v>2016</v>
      </c>
      <c r="O8" s="55">
        <f t="shared" si="0"/>
        <v>2017</v>
      </c>
      <c r="P8" s="55">
        <f t="shared" si="0"/>
        <v>2018</v>
      </c>
      <c r="Q8" s="55">
        <f t="shared" si="0"/>
        <v>2019</v>
      </c>
      <c r="R8" s="55">
        <f t="shared" si="0"/>
        <v>2020</v>
      </c>
      <c r="S8" s="179"/>
    </row>
    <row r="9" spans="1:19" ht="18" thickBot="1">
      <c r="A9" s="93">
        <v>1</v>
      </c>
      <c r="B9" s="94">
        <v>2</v>
      </c>
      <c r="C9" s="93">
        <v>3</v>
      </c>
      <c r="D9" s="93">
        <v>4</v>
      </c>
      <c r="E9" s="95">
        <f>D9+1</f>
        <v>5</v>
      </c>
      <c r="F9" s="95">
        <f aca="true" t="shared" si="1" ref="F9:S9">E9+1</f>
        <v>6</v>
      </c>
      <c r="G9" s="95">
        <f t="shared" si="1"/>
        <v>7</v>
      </c>
      <c r="H9" s="95">
        <f t="shared" si="1"/>
        <v>8</v>
      </c>
      <c r="I9" s="95">
        <f t="shared" si="1"/>
        <v>9</v>
      </c>
      <c r="J9" s="95">
        <f t="shared" si="1"/>
        <v>10</v>
      </c>
      <c r="K9" s="95">
        <f t="shared" si="1"/>
        <v>11</v>
      </c>
      <c r="L9" s="95">
        <f t="shared" si="1"/>
        <v>12</v>
      </c>
      <c r="M9" s="95">
        <f t="shared" si="1"/>
        <v>13</v>
      </c>
      <c r="N9" s="95">
        <f t="shared" si="1"/>
        <v>14</v>
      </c>
      <c r="O9" s="95">
        <f t="shared" si="1"/>
        <v>15</v>
      </c>
      <c r="P9" s="95">
        <f t="shared" si="1"/>
        <v>16</v>
      </c>
      <c r="Q9" s="95">
        <f t="shared" si="1"/>
        <v>17</v>
      </c>
      <c r="R9" s="95">
        <f t="shared" si="1"/>
        <v>18</v>
      </c>
      <c r="S9" s="95">
        <f t="shared" si="1"/>
        <v>19</v>
      </c>
    </row>
    <row r="10" spans="1:19" ht="18" thickBot="1">
      <c r="A10" s="156" t="s">
        <v>368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</row>
    <row r="11" spans="1:19" ht="54.75" customHeight="1">
      <c r="A11" s="165" t="s">
        <v>369</v>
      </c>
      <c r="B11" s="167" t="s">
        <v>370</v>
      </c>
      <c r="C11" s="169" t="s">
        <v>371</v>
      </c>
      <c r="D11" s="169" t="s">
        <v>372</v>
      </c>
      <c r="E11" s="162">
        <f>Лист2!D15/Лист2!D13</f>
        <v>25427.297733711046</v>
      </c>
      <c r="F11" s="162">
        <f>Лист2!E15/Лист2!E13</f>
        <v>19790.773058823524</v>
      </c>
      <c r="G11" s="162">
        <f>Лист2!F15/Лист2!F13</f>
        <v>20491.720476190476</v>
      </c>
      <c r="H11" s="162">
        <f>Лист2!G15/Лист2!G13</f>
        <v>19876.968861904763</v>
      </c>
      <c r="I11" s="162">
        <f>Лист2!H15/Лист2!H13</f>
        <v>19280.65979604762</v>
      </c>
      <c r="J11" s="162">
        <f>Лист2!I15/Лист2!I13</f>
        <v>19278.083010333332</v>
      </c>
      <c r="K11" s="162">
        <f>Лист2!J15/Лист2!J13</f>
        <v>18541.604438904764</v>
      </c>
      <c r="L11" s="162">
        <f>Лист2!K15/Лист2!K13</f>
        <v>18009.887772238097</v>
      </c>
      <c r="M11" s="162">
        <f>Лист2!L15/Лист2!L13</f>
        <v>17469.59113907095</v>
      </c>
      <c r="N11" s="162">
        <f>Лист2!M15/Лист2!M13</f>
        <v>16945.503404898824</v>
      </c>
      <c r="O11" s="162">
        <f>Лист2!N15/Лист2!N13</f>
        <v>16437.13830275186</v>
      </c>
      <c r="P11" s="162">
        <f>Лист2!O15/Лист2!O13</f>
        <v>15944.024153669307</v>
      </c>
      <c r="Q11" s="162">
        <f>Лист2!P15/Лист2!P13</f>
        <v>15465.703429059226</v>
      </c>
      <c r="R11" s="162">
        <f>Лист2!Q15/Лист2!Q13</f>
        <v>15001.732326187448</v>
      </c>
      <c r="S11" s="110" t="s">
        <v>196</v>
      </c>
    </row>
    <row r="12" spans="1:19" ht="56.25" customHeight="1" thickBot="1">
      <c r="A12" s="166"/>
      <c r="B12" s="168"/>
      <c r="C12" s="170"/>
      <c r="D12" s="170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11"/>
    </row>
    <row r="13" spans="1:19" ht="108" thickBot="1">
      <c r="A13" s="10" t="s">
        <v>373</v>
      </c>
      <c r="B13" s="11" t="s">
        <v>374</v>
      </c>
      <c r="C13" s="9" t="s">
        <v>375</v>
      </c>
      <c r="D13" s="9" t="s">
        <v>376</v>
      </c>
      <c r="E13" s="56">
        <f>Лист2!D21/Лист2!D17*100</f>
        <v>50.59415195052554</v>
      </c>
      <c r="F13" s="56">
        <f>Лист2!E21/Лист2!E17*100</f>
        <v>50.06306618822044</v>
      </c>
      <c r="G13" s="56">
        <f>Лист2!F21/Лист2!F17*100</f>
        <v>49.54139004032847</v>
      </c>
      <c r="H13" s="56">
        <f>Лист2!G21/Лист2!G17*100</f>
        <v>50</v>
      </c>
      <c r="I13" s="56">
        <f>Лист2!H21/Лист2!H17*100</f>
        <v>98</v>
      </c>
      <c r="J13" s="56">
        <f>Лист2!I21/Лист2!I17*100</f>
        <v>100</v>
      </c>
      <c r="K13" s="56">
        <f>Лист2!J21/Лист2!J17*100</f>
        <v>100</v>
      </c>
      <c r="L13" s="56">
        <f>Лист2!K21/Лист2!K17*100</f>
        <v>100</v>
      </c>
      <c r="M13" s="56">
        <f>Лист2!L21/Лист2!L17*100</f>
        <v>100</v>
      </c>
      <c r="N13" s="56">
        <f>Лист2!M21/Лист2!M17*100</f>
        <v>100</v>
      </c>
      <c r="O13" s="56">
        <f>Лист2!N21/Лист2!N17*100</f>
        <v>100</v>
      </c>
      <c r="P13" s="56">
        <f>Лист2!O21/Лист2!O17*100</f>
        <v>100</v>
      </c>
      <c r="Q13" s="56">
        <f>Лист2!P21/Лист2!P17*100</f>
        <v>100</v>
      </c>
      <c r="R13" s="56">
        <f>Лист2!Q21/Лист2!Q17*100</f>
        <v>100</v>
      </c>
      <c r="S13" s="25"/>
    </row>
    <row r="14" spans="1:19" ht="90" thickBot="1">
      <c r="A14" s="10" t="s">
        <v>377</v>
      </c>
      <c r="B14" s="11" t="s">
        <v>378</v>
      </c>
      <c r="C14" s="9" t="s">
        <v>375</v>
      </c>
      <c r="D14" s="9" t="s">
        <v>379</v>
      </c>
      <c r="E14" s="56">
        <f>Лист2!D22/Лист2!D18*100</f>
        <v>16.536120054951994</v>
      </c>
      <c r="F14" s="56">
        <f>Лист2!E22/Лист2!E18*100</f>
        <v>37.79420937064526</v>
      </c>
      <c r="G14" s="56">
        <f>Лист2!F22/Лист2!F18*100</f>
        <v>60.538080368167535</v>
      </c>
      <c r="H14" s="56">
        <f>Лист2!G22/Лист2!G18*100</f>
        <v>95</v>
      </c>
      <c r="I14" s="56">
        <f>Лист2!H22/Лист2!H18*100</f>
        <v>100</v>
      </c>
      <c r="J14" s="56">
        <f>Лист2!I22/Лист2!I18*100</f>
        <v>100</v>
      </c>
      <c r="K14" s="56">
        <f>Лист2!J22/Лист2!J18*100</f>
        <v>100</v>
      </c>
      <c r="L14" s="56">
        <f>Лист2!K22/Лист2!K18*100</f>
        <v>100</v>
      </c>
      <c r="M14" s="56">
        <f>Лист2!L22/Лист2!L18*100</f>
        <v>100</v>
      </c>
      <c r="N14" s="56">
        <f>Лист2!M22/Лист2!M18*100</f>
        <v>100</v>
      </c>
      <c r="O14" s="56">
        <f>Лист2!N22/Лист2!N18*100</f>
        <v>100</v>
      </c>
      <c r="P14" s="56">
        <f>Лист2!O22/Лист2!O18*100</f>
        <v>100</v>
      </c>
      <c r="Q14" s="56">
        <f>Лист2!P22/Лист2!P18*100</f>
        <v>100</v>
      </c>
      <c r="R14" s="56">
        <f>Лист2!Q22/Лист2!Q18*100</f>
        <v>100</v>
      </c>
      <c r="S14" s="25"/>
    </row>
    <row r="15" spans="1:19" ht="90" thickBot="1">
      <c r="A15" s="10" t="s">
        <v>380</v>
      </c>
      <c r="B15" s="11" t="s">
        <v>381</v>
      </c>
      <c r="C15" s="9" t="s">
        <v>375</v>
      </c>
      <c r="D15" s="9" t="s">
        <v>382</v>
      </c>
      <c r="E15" s="56">
        <f>Лист2!D23/Лист2!D19*100</f>
        <v>16.78791815524521</v>
      </c>
      <c r="F15" s="56">
        <f>Лист2!E23/Лист2!E19*100</f>
        <v>20.223572879786715</v>
      </c>
      <c r="G15" s="56">
        <f>Лист2!F23/Лист2!F19*100</f>
        <v>28.28730193661972</v>
      </c>
      <c r="H15" s="56">
        <f>Лист2!G23/Лист2!G19*100</f>
        <v>43</v>
      </c>
      <c r="I15" s="56">
        <f>Лист2!H23/Лист2!H19*100</f>
        <v>90</v>
      </c>
      <c r="J15" s="56">
        <f>Лист2!I23/Лист2!I19*100</f>
        <v>100</v>
      </c>
      <c r="K15" s="56">
        <f>Лист2!J23/Лист2!J19*100</f>
        <v>100</v>
      </c>
      <c r="L15" s="56">
        <f>Лист2!K23/Лист2!K19*100</f>
        <v>100</v>
      </c>
      <c r="M15" s="56">
        <f>Лист2!L23/Лист2!L19*100</f>
        <v>100</v>
      </c>
      <c r="N15" s="56">
        <f>Лист2!M23/Лист2!M19*100</f>
        <v>100</v>
      </c>
      <c r="O15" s="56">
        <f>Лист2!N23/Лист2!N19*100</f>
        <v>100</v>
      </c>
      <c r="P15" s="56">
        <f>Лист2!O23/Лист2!O19*100</f>
        <v>100</v>
      </c>
      <c r="Q15" s="56">
        <f>Лист2!P23/Лист2!P19*100</f>
        <v>100</v>
      </c>
      <c r="R15" s="56">
        <f>Лист2!Q23/Лист2!Q19*100</f>
        <v>100</v>
      </c>
      <c r="S15" s="59"/>
    </row>
    <row r="16" spans="1:19" ht="108" thickBot="1">
      <c r="A16" s="10" t="s">
        <v>383</v>
      </c>
      <c r="B16" s="11" t="s">
        <v>384</v>
      </c>
      <c r="C16" s="9" t="s">
        <v>375</v>
      </c>
      <c r="D16" s="9" t="s">
        <v>385</v>
      </c>
      <c r="E16" s="56">
        <f>Лист2!D24/Лист2!D20*100</f>
        <v>19.601630571279536</v>
      </c>
      <c r="F16" s="56">
        <f>Лист2!E24/Лист2!E20*100</f>
        <v>20.10081424492188</v>
      </c>
      <c r="G16" s="56">
        <f>Лист2!F24/Лист2!F20*100</f>
        <v>27.262889252831325</v>
      </c>
      <c r="H16" s="56">
        <f>Лист2!G24/Лист2!G20*100</f>
        <v>30</v>
      </c>
      <c r="I16" s="56">
        <f>Лист2!H24/Лист2!H20*100</f>
        <v>70</v>
      </c>
      <c r="J16" s="56">
        <f>Лист2!I24/Лист2!I20*100</f>
        <v>100</v>
      </c>
      <c r="K16" s="56">
        <f>Лист2!J24/Лист2!J20*100</f>
        <v>100</v>
      </c>
      <c r="L16" s="56">
        <f>Лист2!K24/Лист2!K20*100</f>
        <v>100</v>
      </c>
      <c r="M16" s="56">
        <f>Лист2!L24/Лист2!L20*100</f>
        <v>100</v>
      </c>
      <c r="N16" s="56">
        <f>Лист2!M24/Лист2!M20*100</f>
        <v>100</v>
      </c>
      <c r="O16" s="56">
        <f>Лист2!N24/Лист2!N20*100</f>
        <v>100</v>
      </c>
      <c r="P16" s="56">
        <f>Лист2!O24/Лист2!O20*100</f>
        <v>100</v>
      </c>
      <c r="Q16" s="56">
        <f>Лист2!P24/Лист2!P20*100</f>
        <v>100</v>
      </c>
      <c r="R16" s="56">
        <f>Лист2!Q24/Лист2!Q20*100</f>
        <v>100</v>
      </c>
      <c r="S16" s="59"/>
    </row>
    <row r="17" spans="1:19" ht="72" thickBot="1">
      <c r="A17" s="10" t="s">
        <v>386</v>
      </c>
      <c r="B17" s="82" t="s">
        <v>387</v>
      </c>
      <c r="C17" s="22" t="s">
        <v>375</v>
      </c>
      <c r="D17" s="9" t="s">
        <v>388</v>
      </c>
      <c r="E17" s="25">
        <v>0</v>
      </c>
      <c r="F17" s="25">
        <v>0</v>
      </c>
      <c r="G17" s="25">
        <f>Лист2!F32/Лист2!F31*100</f>
        <v>0</v>
      </c>
      <c r="H17" s="25">
        <f>Лист2!G32/Лист2!G31*100</f>
        <v>0</v>
      </c>
      <c r="I17" s="25">
        <v>0</v>
      </c>
      <c r="J17" s="25">
        <f>Лист2!I32/Лист2!I31*100</f>
        <v>0</v>
      </c>
      <c r="K17" s="25">
        <f>Лист2!J32/Лист2!J31*100</f>
        <v>0</v>
      </c>
      <c r="L17" s="25">
        <f>Лист2!K32/Лист2!K31*100</f>
        <v>0</v>
      </c>
      <c r="M17" s="25">
        <f>Лист2!L32/Лист2!L31*100</f>
        <v>0</v>
      </c>
      <c r="N17" s="25">
        <f>Лист2!M32/Лист2!M31*100</f>
        <v>0</v>
      </c>
      <c r="O17" s="25">
        <f>Лист2!N32/Лист2!N31*100</f>
        <v>0</v>
      </c>
      <c r="P17" s="25">
        <f>Лист2!O32/Лист2!O31*100</f>
        <v>0</v>
      </c>
      <c r="Q17" s="25">
        <f>Лист2!P32/Лист2!P31*100</f>
        <v>0</v>
      </c>
      <c r="R17" s="25">
        <f>Лист2!Q32/Лист2!Q31*100</f>
        <v>0</v>
      </c>
      <c r="S17" s="25"/>
    </row>
    <row r="18" spans="1:19" ht="69.75" thickBot="1">
      <c r="A18" s="10" t="s">
        <v>389</v>
      </c>
      <c r="B18" s="82" t="s">
        <v>390</v>
      </c>
      <c r="C18" s="22" t="s">
        <v>218</v>
      </c>
      <c r="D18" s="9" t="s">
        <v>391</v>
      </c>
      <c r="E18" s="57">
        <f>Лист2!E29-Лист2!D29</f>
        <v>0</v>
      </c>
      <c r="F18" s="57">
        <f>Лист2!F29-Лист2!E29</f>
        <v>0</v>
      </c>
      <c r="G18" s="57">
        <f>Лист2!G29-Лист2!F29</f>
        <v>0</v>
      </c>
      <c r="H18" s="57">
        <f>Лист2!H29-Лист2!G29</f>
        <v>0</v>
      </c>
      <c r="I18" s="57">
        <f>Лист2!I29-Лист2!H29</f>
        <v>0</v>
      </c>
      <c r="J18" s="57">
        <f>Лист2!J29-Лист2!I29</f>
        <v>0</v>
      </c>
      <c r="K18" s="57">
        <f>Лист2!K29-Лист2!J29</f>
        <v>0</v>
      </c>
      <c r="L18" s="57">
        <f>Лист2!L29-Лист2!K29</f>
        <v>785</v>
      </c>
      <c r="M18" s="57">
        <f>Лист2!M29-Лист2!L29</f>
        <v>785</v>
      </c>
      <c r="N18" s="57">
        <f>Лист2!N29-Лист2!M29</f>
        <v>0</v>
      </c>
      <c r="O18" s="57">
        <f>Лист2!O29-Лист2!N29</f>
        <v>0</v>
      </c>
      <c r="P18" s="57">
        <f>Лист2!P29-Лист2!O29</f>
        <v>0</v>
      </c>
      <c r="Q18" s="57">
        <f>Лист2!Q29-Лист2!P29</f>
        <v>0</v>
      </c>
      <c r="R18" s="57"/>
      <c r="S18" s="25" t="s">
        <v>392</v>
      </c>
    </row>
    <row r="19" spans="1:19" ht="90" thickBot="1">
      <c r="A19" s="10" t="s">
        <v>393</v>
      </c>
      <c r="B19" s="82" t="s">
        <v>394</v>
      </c>
      <c r="C19" s="22" t="s">
        <v>375</v>
      </c>
      <c r="D19" s="9" t="s">
        <v>395</v>
      </c>
      <c r="E19" s="58">
        <f>Лист2!D29/Лист2!D30*100</f>
        <v>0</v>
      </c>
      <c r="F19" s="58">
        <f>Лист2!E29/Лист2!E30*100</f>
        <v>0</v>
      </c>
      <c r="G19" s="58">
        <f>Лист2!F29/Лист2!F30*100</f>
        <v>0</v>
      </c>
      <c r="H19" s="58">
        <f>Лист2!G29/Лист2!G30*100</f>
        <v>0</v>
      </c>
      <c r="I19" s="58">
        <f>Лист2!H29/Лист2!H30*100</f>
        <v>0</v>
      </c>
      <c r="J19" s="58">
        <f>Лист2!I29/Лист2!I30*100</f>
        <v>0</v>
      </c>
      <c r="K19" s="58">
        <f>Лист2!J29/Лист2!J30*100</f>
        <v>0</v>
      </c>
      <c r="L19" s="58">
        <f>Лист2!K29/Лист2!K30*100</f>
        <v>0</v>
      </c>
      <c r="M19" s="58">
        <f>Лист2!L29/Лист2!L30*100</f>
        <v>0.00010872576177285318</v>
      </c>
      <c r="N19" s="58">
        <f>Лист2!M29/Лист2!M30*100</f>
        <v>0.00021745152354570637</v>
      </c>
      <c r="O19" s="58">
        <f>Лист2!N29/Лист2!N30*100</f>
        <v>0.00021745152354570637</v>
      </c>
      <c r="P19" s="58">
        <f>Лист2!O29/Лист2!O30*100</f>
        <v>0.00021745152354570637</v>
      </c>
      <c r="Q19" s="58">
        <f>Лист2!P29/Лист2!P30*100</f>
        <v>0.00021745152354570637</v>
      </c>
      <c r="R19" s="58">
        <f>Лист2!Q29/Лист2!Q30*100</f>
        <v>0.00021745152354570637</v>
      </c>
      <c r="S19" s="25"/>
    </row>
    <row r="20" spans="1:19" ht="18" thickBot="1">
      <c r="A20" s="156" t="s">
        <v>396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/>
    </row>
    <row r="21" spans="1:19" ht="72" thickBot="1">
      <c r="A21" s="10" t="s">
        <v>397</v>
      </c>
      <c r="B21" s="11" t="s">
        <v>398</v>
      </c>
      <c r="C21" s="9" t="s">
        <v>206</v>
      </c>
      <c r="D21" s="9" t="s">
        <v>399</v>
      </c>
      <c r="E21" s="57"/>
      <c r="F21" s="57">
        <f>(E11-F11)/E11*Лист2!D17</f>
        <v>377082.12230691867</v>
      </c>
      <c r="G21" s="57">
        <f>(E11-G11)/E11*Лист2!D17</f>
        <v>330188.9115056091</v>
      </c>
      <c r="H21" s="57">
        <f>(E11-H11)/E11*Лист2!D17</f>
        <v>371315.6441604407</v>
      </c>
      <c r="I21" s="57">
        <f>(E11-I11)/E11*Лист2!D17</f>
        <v>411208.57483562746</v>
      </c>
      <c r="J21" s="57">
        <f>(E11-J11)/E11*Лист2!D17</f>
        <v>411380.9611697463</v>
      </c>
      <c r="K21" s="57">
        <f>(E11-K11)/E11*Лист2!D17</f>
        <v>460651.1974884392</v>
      </c>
      <c r="L21" s="57">
        <f>(E11-L11)/E11*Лист2!D17</f>
        <v>496222.912454209</v>
      </c>
      <c r="M21" s="57">
        <f>(E11-M11)/E11*Лист2!D17</f>
        <v>532368.6250805829</v>
      </c>
      <c r="N21" s="57">
        <f>(E11-N11)/E11*Лист2!D17</f>
        <v>567429.9663281654</v>
      </c>
      <c r="O21" s="57">
        <f>(E11-O11)/E11*Лист2!D17</f>
        <v>601439.4673383203</v>
      </c>
      <c r="P21" s="57">
        <f>(E11-P11)/E11*Лист2!D17</f>
        <v>634428.6833181706</v>
      </c>
      <c r="Q21" s="57">
        <f>(E11-Q11)/E11*Лист2!D17</f>
        <v>666428.2228186256</v>
      </c>
      <c r="R21" s="57">
        <f>(E11-R11)/E11*Лист2!D17</f>
        <v>697467.7761340669</v>
      </c>
      <c r="S21" s="55" t="s">
        <v>400</v>
      </c>
    </row>
    <row r="22" spans="1:19" ht="35.25" thickBot="1">
      <c r="A22" s="10" t="s">
        <v>401</v>
      </c>
      <c r="B22" s="11" t="s">
        <v>402</v>
      </c>
      <c r="C22" s="9" t="s">
        <v>227</v>
      </c>
      <c r="D22" s="9" t="s">
        <v>403</v>
      </c>
      <c r="E22" s="25"/>
      <c r="F22" s="57">
        <f>F21*Лист2!D25</f>
        <v>520373.32878354774</v>
      </c>
      <c r="G22" s="57">
        <f>G21*Лист2!D25</f>
        <v>455660.69787774055</v>
      </c>
      <c r="H22" s="57">
        <f>H21*Лист2!D25</f>
        <v>512415.58894140815</v>
      </c>
      <c r="I22" s="57">
        <f>I21*Лист2!D25</f>
        <v>567467.8332731659</v>
      </c>
      <c r="J22" s="57">
        <f>J21*Лист2!D25</f>
        <v>567705.7264142499</v>
      </c>
      <c r="K22" s="57">
        <f>K21*Лист2!D25</f>
        <v>635698.6525340461</v>
      </c>
      <c r="L22" s="57">
        <f>L21*Лист2!D25</f>
        <v>684787.6191868084</v>
      </c>
      <c r="M22" s="57">
        <f>M21*Лист2!D25</f>
        <v>734668.7026112044</v>
      </c>
      <c r="N22" s="57">
        <f>N21*Лист2!D25</f>
        <v>783053.3535328682</v>
      </c>
      <c r="O22" s="57">
        <f>O21*Лист2!D25</f>
        <v>829986.464926882</v>
      </c>
      <c r="P22" s="57">
        <f>P21*Лист2!D25</f>
        <v>875511.5829790754</v>
      </c>
      <c r="Q22" s="57">
        <f>Q21*Лист2!D25</f>
        <v>919670.9474897033</v>
      </c>
      <c r="R22" s="57">
        <f>R21*Лист2!D25</f>
        <v>962505.5310650122</v>
      </c>
      <c r="S22" s="73" t="s">
        <v>404</v>
      </c>
    </row>
    <row r="23" spans="1:19" ht="72" thickBot="1">
      <c r="A23" s="10" t="s">
        <v>405</v>
      </c>
      <c r="B23" s="11" t="s">
        <v>406</v>
      </c>
      <c r="C23" s="9" t="s">
        <v>208</v>
      </c>
      <c r="D23" s="9" t="s">
        <v>407</v>
      </c>
      <c r="E23" s="25"/>
      <c r="F23" s="57">
        <f>(E11-F11)/E11*Лист2!D18</f>
        <v>1140.7937879754738</v>
      </c>
      <c r="G23" s="57">
        <f>(E11-G11)/E11*Лист2!D18</f>
        <v>998.9268565678459</v>
      </c>
      <c r="H23" s="57">
        <f>(E11-H11)/E11*Лист2!D18</f>
        <v>1123.3483508708102</v>
      </c>
      <c r="I23" s="57">
        <f>(E11-I11)/E11*Лист2!D18</f>
        <v>1244.0372003446857</v>
      </c>
      <c r="J23" s="57">
        <f>(E11-J11)/E11*Лист2!D18</f>
        <v>1244.55872403266</v>
      </c>
      <c r="K23" s="57">
        <f>(E11-K11)/E11*Лист2!D18</f>
        <v>1393.616916398247</v>
      </c>
      <c r="L23" s="57">
        <f>(E11-L11)/E11*Лист2!D18</f>
        <v>1501.232708980307</v>
      </c>
      <c r="M23" s="57">
        <f>(E11-M11)/E11*Лист2!D18</f>
        <v>1610.5850277108982</v>
      </c>
      <c r="N23" s="57">
        <f>(E11-N11)/E11*Лист2!D18</f>
        <v>1716.6567768795715</v>
      </c>
      <c r="O23" s="57">
        <f>(E11-O11)/E11*Лист2!D18</f>
        <v>1819.546373573184</v>
      </c>
      <c r="P23" s="57">
        <f>(E11-P11)/E11*Лист2!D18</f>
        <v>1919.349282365988</v>
      </c>
      <c r="Q23" s="57">
        <f>(E11-Q11)/E11*Лист2!D18</f>
        <v>2016.1581038950087</v>
      </c>
      <c r="R23" s="57">
        <f>(E11-R11)/E11*Лист2!D18</f>
        <v>2110.0626607781587</v>
      </c>
      <c r="S23" s="55" t="s">
        <v>408</v>
      </c>
    </row>
    <row r="24" spans="1:19" ht="35.25" thickBot="1">
      <c r="A24" s="7" t="s">
        <v>409</v>
      </c>
      <c r="B24" s="83" t="s">
        <v>410</v>
      </c>
      <c r="C24" s="6" t="s">
        <v>411</v>
      </c>
      <c r="D24" s="6" t="s">
        <v>412</v>
      </c>
      <c r="E24" s="59"/>
      <c r="F24" s="57">
        <f>F23*Лист2!D26</f>
        <v>726674.2350024971</v>
      </c>
      <c r="G24" s="57">
        <f>G23*Лист2!D26</f>
        <v>636306.4183651522</v>
      </c>
      <c r="H24" s="57">
        <f>H23*Лист2!D26</f>
        <v>715561.6660211975</v>
      </c>
      <c r="I24" s="57">
        <f>I23*Лист2!D26</f>
        <v>792439.2562475614</v>
      </c>
      <c r="J24" s="57">
        <f>J23*Лист2!D26</f>
        <v>792771.4616215641</v>
      </c>
      <c r="K24" s="57">
        <f>K23*Лист2!D26</f>
        <v>887720.0395765194</v>
      </c>
      <c r="L24" s="57">
        <f>L23*Лист2!D26</f>
        <v>956270.2232933658</v>
      </c>
      <c r="M24" s="57">
        <f>M23*Лист2!D26</f>
        <v>1025926.5568015651</v>
      </c>
      <c r="N24" s="57">
        <f>N23*Лист2!D26</f>
        <v>1093493.2003045182</v>
      </c>
      <c r="O24" s="57">
        <f>O23*Лист2!D26</f>
        <v>1159032.8445023824</v>
      </c>
      <c r="P24" s="57">
        <f>P23*Лист2!D26</f>
        <v>1222606.2993743108</v>
      </c>
      <c r="Q24" s="57">
        <f>Q23*Лист2!D26</f>
        <v>1284272.5506000817</v>
      </c>
      <c r="R24" s="57">
        <f>R23*Лист2!D26</f>
        <v>1344088.8142890793</v>
      </c>
      <c r="S24" s="73" t="s">
        <v>413</v>
      </c>
    </row>
    <row r="25" spans="1:19" ht="72" thickBot="1">
      <c r="A25" s="10" t="s">
        <v>414</v>
      </c>
      <c r="B25" s="11" t="s">
        <v>415</v>
      </c>
      <c r="C25" s="9" t="s">
        <v>416</v>
      </c>
      <c r="D25" s="9" t="s">
        <v>417</v>
      </c>
      <c r="E25" s="25"/>
      <c r="F25" s="57">
        <f>(E11-F11)/E11*Лист2!D19</f>
        <v>27301.146438333355</v>
      </c>
      <c r="G25" s="57">
        <f>(E11-G11)/E11*Лист2!D19</f>
        <v>23906.02813567311</v>
      </c>
      <c r="H25" s="57">
        <f>(E11-H11)/E11*Лист2!D19</f>
        <v>26883.647291602912</v>
      </c>
      <c r="I25" s="57">
        <f>(E11-I11)/E11*Лист2!D19</f>
        <v>29771.93787285482</v>
      </c>
      <c r="J25" s="57">
        <f>(E11-J11)/E11*Лист2!D19</f>
        <v>29784.41882666656</v>
      </c>
      <c r="K25" s="57">
        <f>(E11-K11)/E11*Лист2!D19</f>
        <v>33351.63630321688</v>
      </c>
      <c r="L25" s="57">
        <f>(E11-L11)/E11*Лист2!D19</f>
        <v>35927.0662742848</v>
      </c>
      <c r="M25" s="57">
        <f>(E11-M11)/E11*Лист2!D19</f>
        <v>38544.054286056264</v>
      </c>
      <c r="N25" s="57">
        <f>(E11-N11)/E11*Лист2!D19</f>
        <v>41082.53265747458</v>
      </c>
      <c r="O25" s="57">
        <f>(E11-O11)/E11*Лист2!D19</f>
        <v>43544.85667775033</v>
      </c>
      <c r="P25" s="57">
        <f>(E11-P11)/E11*Лист2!D19</f>
        <v>45933.310977417816</v>
      </c>
      <c r="Q25" s="57">
        <f>(E11-Q11)/E11*Лист2!D19</f>
        <v>48250.111648095284</v>
      </c>
      <c r="R25" s="57">
        <f>(E11-R11)/E11*Лист2!D19</f>
        <v>50497.40829865244</v>
      </c>
      <c r="S25" s="73" t="s">
        <v>418</v>
      </c>
    </row>
    <row r="26" spans="1:19" ht="35.25" thickBot="1">
      <c r="A26" s="10" t="s">
        <v>419</v>
      </c>
      <c r="B26" s="11" t="s">
        <v>420</v>
      </c>
      <c r="C26" s="9" t="s">
        <v>227</v>
      </c>
      <c r="D26" s="9" t="s">
        <v>421</v>
      </c>
      <c r="E26" s="59"/>
      <c r="F26" s="57">
        <f>F25*Лист2!D27</f>
        <v>211310.87343270017</v>
      </c>
      <c r="G26" s="57">
        <f>G25*Лист2!D27</f>
        <v>185032.6577701099</v>
      </c>
      <c r="H26" s="57">
        <f>H25*Лист2!D27</f>
        <v>208079.43003700656</v>
      </c>
      <c r="I26" s="57">
        <f>I25*Лист2!D27</f>
        <v>230434.79913589632</v>
      </c>
      <c r="J26" s="57">
        <f>J25*Лист2!D27</f>
        <v>230531.40171839917</v>
      </c>
      <c r="K26" s="57">
        <f>K25*Лист2!D27</f>
        <v>258141.66498689866</v>
      </c>
      <c r="L26" s="57">
        <f>L25*Лист2!D27</f>
        <v>278075.49296296434</v>
      </c>
      <c r="M26" s="57">
        <f>M25*Лист2!D27</f>
        <v>298330.98017407546</v>
      </c>
      <c r="N26" s="57">
        <f>N25*Лист2!D27</f>
        <v>317978.80276885326</v>
      </c>
      <c r="O26" s="57">
        <f>O25*Лист2!D27</f>
        <v>337037.19068578753</v>
      </c>
      <c r="P26" s="57">
        <f>P25*Лист2!D27</f>
        <v>355523.8269652139</v>
      </c>
      <c r="Q26" s="57">
        <f>Q25*Лист2!D27</f>
        <v>373455.86415625754</v>
      </c>
      <c r="R26" s="57">
        <f>R25*Лист2!D27</f>
        <v>390849.94023156987</v>
      </c>
      <c r="S26" s="73" t="s">
        <v>422</v>
      </c>
    </row>
    <row r="27" spans="1:19" ht="72" thickBot="1">
      <c r="A27" s="10" t="s">
        <v>423</v>
      </c>
      <c r="B27" s="11" t="s">
        <v>424</v>
      </c>
      <c r="C27" s="9" t="s">
        <v>238</v>
      </c>
      <c r="D27" s="9" t="s">
        <v>425</v>
      </c>
      <c r="E27" s="25"/>
      <c r="F27" s="57">
        <f>(E11-F11)/E11*Лист2!D20</f>
        <v>68843.84414393827</v>
      </c>
      <c r="G27" s="57">
        <f>(E11-G11)/E11*Лист2!D20</f>
        <v>60282.55548866073</v>
      </c>
      <c r="H27" s="57">
        <f>(E11-H11)/E11*Лист2!D20</f>
        <v>67791.0588240009</v>
      </c>
      <c r="I27" s="57">
        <f>(E11-I11)/E11*Лист2!D20</f>
        <v>75074.30705928085</v>
      </c>
      <c r="J27" s="57">
        <f>(E11-J11)/E11*Лист2!D20</f>
        <v>75105.77961450574</v>
      </c>
      <c r="K27" s="57">
        <f>(E11-K11)/E11*Лист2!D20</f>
        <v>84101.04157311509</v>
      </c>
      <c r="L27" s="57">
        <f>(E11-L11)/E11*Лист2!D20</f>
        <v>90595.36590239959</v>
      </c>
      <c r="M27" s="57">
        <f>(E11-M11)/E11*Лист2!D20</f>
        <v>97194.48492532762</v>
      </c>
      <c r="N27" s="57">
        <f>(E11-N11)/E11*Лист2!D20</f>
        <v>103595.6303775678</v>
      </c>
      <c r="O27" s="57">
        <f>(E11-O11)/E11*Лист2!D20</f>
        <v>109804.74146624074</v>
      </c>
      <c r="P27" s="57">
        <f>(E11-P11)/E11*Лист2!D20</f>
        <v>115827.5792222535</v>
      </c>
      <c r="Q27" s="57">
        <f>(E11-Q11)/E11*Лист2!D20</f>
        <v>121669.7318455859</v>
      </c>
      <c r="R27" s="57">
        <f>(E11-R11)/E11*Лист2!D20</f>
        <v>127336.61989021835</v>
      </c>
      <c r="S27" s="73" t="s">
        <v>426</v>
      </c>
    </row>
    <row r="28" spans="1:19" ht="35.25" thickBot="1">
      <c r="A28" s="7" t="s">
        <v>427</v>
      </c>
      <c r="B28" s="83" t="s">
        <v>428</v>
      </c>
      <c r="C28" s="6" t="s">
        <v>252</v>
      </c>
      <c r="D28" s="6" t="s">
        <v>429</v>
      </c>
      <c r="E28" s="59"/>
      <c r="F28" s="57">
        <f>F27*Лист2!D28</f>
        <v>164536.7875040125</v>
      </c>
      <c r="G28" s="57">
        <f>G27*Лист2!D28</f>
        <v>144075.30761789915</v>
      </c>
      <c r="H28" s="57">
        <f>H27*Лист2!D28</f>
        <v>162020.63058936215</v>
      </c>
      <c r="I28" s="57">
        <f>I27*Лист2!D28</f>
        <v>179427.59387168125</v>
      </c>
      <c r="J28" s="57">
        <f>J27*Лист2!D28</f>
        <v>179502.8132786687</v>
      </c>
      <c r="K28" s="57">
        <f>K27*Лист2!D28</f>
        <v>201001.48935974506</v>
      </c>
      <c r="L28" s="57">
        <f>L27*Лист2!D28</f>
        <v>216522.92450673503</v>
      </c>
      <c r="M28" s="57">
        <f>M27*Лист2!D28</f>
        <v>232294.818971533</v>
      </c>
      <c r="N28" s="57">
        <f>N27*Лист2!D28</f>
        <v>247593.55660238705</v>
      </c>
      <c r="O28" s="57">
        <f>O27*Лист2!D28</f>
        <v>262433.3321043154</v>
      </c>
      <c r="P28" s="57">
        <f>P27*Лист2!D28</f>
        <v>276827.9143411859</v>
      </c>
      <c r="Q28" s="57">
        <f>Q27*Лист2!D28</f>
        <v>290790.6591109503</v>
      </c>
      <c r="R28" s="57">
        <f>R27*Лист2!D28</f>
        <v>304334.52153762185</v>
      </c>
      <c r="S28" s="73" t="s">
        <v>430</v>
      </c>
    </row>
    <row r="29" spans="1:19" ht="18" thickBot="1">
      <c r="A29" s="159" t="s">
        <v>431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1"/>
    </row>
    <row r="30" spans="1:19" ht="54" thickBot="1">
      <c r="A30" s="8" t="s">
        <v>432</v>
      </c>
      <c r="B30" s="11" t="s">
        <v>433</v>
      </c>
      <c r="C30" s="9" t="s">
        <v>434</v>
      </c>
      <c r="D30" s="9" t="s">
        <v>435</v>
      </c>
      <c r="E30" s="25">
        <v>0</v>
      </c>
      <c r="F30" s="60">
        <f>Лист2!E33/Лист2!E34</f>
        <v>0.48755574147439107</v>
      </c>
      <c r="G30" s="60">
        <f>Лист2!F33/Лист2!F34</f>
        <v>0.3158817722277562</v>
      </c>
      <c r="H30" s="60">
        <f>Лист2!G33/Лист2!G34</f>
        <v>0.4314380913061983</v>
      </c>
      <c r="I30" s="60">
        <f>Лист2!H33/Лист2!H34</f>
        <v>0.42290928345604883</v>
      </c>
      <c r="J30" s="60">
        <f>Лист2!I33/Лист2!I34</f>
        <v>0.4143804756058994</v>
      </c>
      <c r="K30" s="60">
        <f>Лист2!J33/Лист2!J34</f>
        <v>0.40585166775575</v>
      </c>
      <c r="L30" s="60">
        <f>Лист2!K33/Лист2!K34</f>
        <v>0.39732285990560057</v>
      </c>
      <c r="M30" s="60">
        <f>Лист2!L33/Лист2!L34</f>
        <v>0.38879405205545114</v>
      </c>
      <c r="N30" s="60">
        <f>Лист2!M33/Лист2!M34</f>
        <v>0.37687436625828313</v>
      </c>
      <c r="O30" s="60">
        <f>Лист2!N33/Лист2!N34</f>
        <v>0.36521054469661957</v>
      </c>
      <c r="P30" s="60">
        <f>Лист2!O33/Лист2!O34</f>
        <v>0.3539043137088711</v>
      </c>
      <c r="Q30" s="60">
        <f>Лист2!P33/Лист2!P34</f>
        <v>0.3429479973679725</v>
      </c>
      <c r="R30" s="60">
        <f>Лист2!Q33/Лист2!Q34</f>
        <v>0.33233086795670636</v>
      </c>
      <c r="S30" s="59"/>
    </row>
    <row r="31" spans="1:19" ht="54" thickBot="1">
      <c r="A31" s="8" t="s">
        <v>436</v>
      </c>
      <c r="B31" s="11" t="s">
        <v>437</v>
      </c>
      <c r="C31" s="9" t="s">
        <v>434</v>
      </c>
      <c r="D31" s="9" t="s">
        <v>438</v>
      </c>
      <c r="E31" s="60">
        <f>Лист2!D35/Лист2!D36</f>
        <v>0.290270338745941</v>
      </c>
      <c r="F31" s="60">
        <f>Лист2!E35/Лист2!E36</f>
        <v>0.33733332239693126</v>
      </c>
      <c r="G31" s="60">
        <f>Лист2!F35/Лист2!F36</f>
        <v>1.556733041513672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59"/>
    </row>
    <row r="32" spans="1:19" ht="54" thickBot="1">
      <c r="A32" s="8" t="s">
        <v>439</v>
      </c>
      <c r="B32" s="11" t="s">
        <v>440</v>
      </c>
      <c r="C32" s="9" t="s">
        <v>434</v>
      </c>
      <c r="D32" s="9" t="s">
        <v>441</v>
      </c>
      <c r="E32" s="60">
        <f>F30-E30</f>
        <v>0.48755574147439107</v>
      </c>
      <c r="F32" s="60">
        <f aca="true" t="shared" si="2" ref="F32:Q32">G30-F30</f>
        <v>-0.17167396924663486</v>
      </c>
      <c r="G32" s="60">
        <f t="shared" si="2"/>
        <v>0.1155563190784421</v>
      </c>
      <c r="H32" s="60">
        <f t="shared" si="2"/>
        <v>-0.008528807850149478</v>
      </c>
      <c r="I32" s="60">
        <f t="shared" si="2"/>
        <v>-0.008528807850149422</v>
      </c>
      <c r="J32" s="60">
        <f t="shared" si="2"/>
        <v>-0.008528807850149422</v>
      </c>
      <c r="K32" s="60">
        <f t="shared" si="2"/>
        <v>-0.008528807850149422</v>
      </c>
      <c r="L32" s="60">
        <f t="shared" si="2"/>
        <v>-0.008528807850149422</v>
      </c>
      <c r="M32" s="60">
        <f t="shared" si="2"/>
        <v>-0.011919685797168011</v>
      </c>
      <c r="N32" s="60">
        <f t="shared" si="2"/>
        <v>-0.011663821561663568</v>
      </c>
      <c r="O32" s="60">
        <f t="shared" si="2"/>
        <v>-0.011306230987748467</v>
      </c>
      <c r="P32" s="60">
        <f t="shared" si="2"/>
        <v>-0.010956316340898609</v>
      </c>
      <c r="Q32" s="60">
        <f t="shared" si="2"/>
        <v>-0.010617129411266135</v>
      </c>
      <c r="R32" s="60"/>
      <c r="S32" s="59" t="s">
        <v>442</v>
      </c>
    </row>
    <row r="33" spans="1:19" ht="54" thickBot="1">
      <c r="A33" s="8" t="s">
        <v>443</v>
      </c>
      <c r="B33" s="11" t="s">
        <v>444</v>
      </c>
      <c r="C33" s="9" t="s">
        <v>434</v>
      </c>
      <c r="D33" s="9" t="s">
        <v>445</v>
      </c>
      <c r="E33" s="60">
        <f>F31-E31</f>
        <v>0.047062983650990264</v>
      </c>
      <c r="F33" s="60">
        <f aca="true" t="shared" si="3" ref="F33:R33">G31-F31</f>
        <v>1.2193997191167407</v>
      </c>
      <c r="G33" s="60">
        <f t="shared" si="3"/>
        <v>-1.556733041513672</v>
      </c>
      <c r="H33" s="60">
        <f t="shared" si="3"/>
        <v>0</v>
      </c>
      <c r="I33" s="60">
        <f t="shared" si="3"/>
        <v>0</v>
      </c>
      <c r="J33" s="60">
        <f t="shared" si="3"/>
        <v>0</v>
      </c>
      <c r="K33" s="60">
        <f t="shared" si="3"/>
        <v>0</v>
      </c>
      <c r="L33" s="60">
        <f t="shared" si="3"/>
        <v>0</v>
      </c>
      <c r="M33" s="60">
        <f t="shared" si="3"/>
        <v>0</v>
      </c>
      <c r="N33" s="60">
        <f t="shared" si="3"/>
        <v>0</v>
      </c>
      <c r="O33" s="60">
        <f t="shared" si="3"/>
        <v>0</v>
      </c>
      <c r="P33" s="60">
        <f t="shared" si="3"/>
        <v>0</v>
      </c>
      <c r="Q33" s="60">
        <f t="shared" si="3"/>
        <v>0</v>
      </c>
      <c r="R33" s="60">
        <f t="shared" si="3"/>
        <v>0</v>
      </c>
      <c r="S33" s="59" t="s">
        <v>442</v>
      </c>
    </row>
    <row r="34" spans="1:19" ht="90" thickBot="1">
      <c r="A34" s="8" t="s">
        <v>446</v>
      </c>
      <c r="B34" s="11" t="s">
        <v>447</v>
      </c>
      <c r="C34" s="9" t="s">
        <v>244</v>
      </c>
      <c r="D34" s="9" t="s">
        <v>448</v>
      </c>
      <c r="E34" s="25">
        <v>0</v>
      </c>
      <c r="F34" s="60">
        <f aca="true" t="shared" si="4" ref="F34:R34">F31/F30</f>
        <v>0.691886678181288</v>
      </c>
      <c r="G34" s="60">
        <f t="shared" si="4"/>
        <v>4.928214219310004</v>
      </c>
      <c r="H34" s="60">
        <f t="shared" si="4"/>
        <v>0</v>
      </c>
      <c r="I34" s="60">
        <f t="shared" si="4"/>
        <v>0</v>
      </c>
      <c r="J34" s="60">
        <f t="shared" si="4"/>
        <v>0</v>
      </c>
      <c r="K34" s="60">
        <f t="shared" si="4"/>
        <v>0</v>
      </c>
      <c r="L34" s="60">
        <f t="shared" si="4"/>
        <v>0</v>
      </c>
      <c r="M34" s="60">
        <f t="shared" si="4"/>
        <v>0</v>
      </c>
      <c r="N34" s="60">
        <f t="shared" si="4"/>
        <v>0</v>
      </c>
      <c r="O34" s="60">
        <f t="shared" si="4"/>
        <v>0</v>
      </c>
      <c r="P34" s="60">
        <f t="shared" si="4"/>
        <v>0</v>
      </c>
      <c r="Q34" s="60">
        <f t="shared" si="4"/>
        <v>0</v>
      </c>
      <c r="R34" s="60">
        <f t="shared" si="4"/>
        <v>0</v>
      </c>
      <c r="S34" s="59"/>
    </row>
    <row r="35" spans="1:19" ht="54" thickBot="1">
      <c r="A35" s="8" t="s">
        <v>449</v>
      </c>
      <c r="B35" s="11" t="s">
        <v>450</v>
      </c>
      <c r="C35" s="9" t="s">
        <v>451</v>
      </c>
      <c r="D35" s="9" t="s">
        <v>452</v>
      </c>
      <c r="E35" s="25">
        <f>Лист2!D37/Лист2!D38</f>
        <v>0.18204355272598835</v>
      </c>
      <c r="F35" s="25">
        <f>Лист2!E37/Лист2!E38</f>
        <v>0.1916510983701604</v>
      </c>
      <c r="G35" s="25">
        <f>Лист2!F37/Лист2!F38</f>
        <v>0.16282846143764426</v>
      </c>
      <c r="H35" s="25">
        <f>Лист2!G37/Лист2!G38</f>
        <v>0.1798040329594643</v>
      </c>
      <c r="I35" s="25">
        <f>Лист2!H37/Лист2!H38</f>
        <v>0.16871334415894546</v>
      </c>
      <c r="J35" s="25">
        <f>Лист2!I37/Лист2!I38</f>
        <v>0.16661285700639986</v>
      </c>
      <c r="K35" s="25">
        <f>Лист2!J37/Лист2!J38</f>
        <v>0.16451236985385423</v>
      </c>
      <c r="L35" s="25">
        <f>Лист2!K37/Лист2!K38</f>
        <v>0.16241188270130863</v>
      </c>
      <c r="M35" s="25">
        <f>Лист2!L37/Лист2!L38</f>
        <v>0.160311395548763</v>
      </c>
      <c r="N35" s="25">
        <f>Лист2!M37/Лист2!M38</f>
        <v>0.15543903906772374</v>
      </c>
      <c r="O35" s="25">
        <f>Лист2!N37/Лист2!N38</f>
        <v>0.15062969720126085</v>
      </c>
      <c r="P35" s="25">
        <f>Лист2!O37/Лист2!O38</f>
        <v>0.14596652602922913</v>
      </c>
      <c r="Q35" s="25">
        <f>Лист2!P37/Лист2!P38</f>
        <v>0.1414476351131913</v>
      </c>
      <c r="R35" s="25">
        <f>Лист2!Q37/Лист2!Q38</f>
        <v>0.13706863933231445</v>
      </c>
      <c r="S35" s="59"/>
    </row>
    <row r="36" spans="1:19" ht="54" thickBot="1">
      <c r="A36" s="8" t="s">
        <v>453</v>
      </c>
      <c r="B36" s="11" t="s">
        <v>454</v>
      </c>
      <c r="C36" s="9" t="s">
        <v>451</v>
      </c>
      <c r="D36" s="9" t="s">
        <v>455</v>
      </c>
      <c r="E36" s="25">
        <f>Лист2!D39/Лист2!D40</f>
        <v>0.2031059116891474</v>
      </c>
      <c r="F36" s="25">
        <f>Лист2!E39/Лист2!E40</f>
        <v>0.20809139095709472</v>
      </c>
      <c r="G36" s="25">
        <f>Лист2!F39/Лист2!F40</f>
        <v>0.17683788226895447</v>
      </c>
      <c r="H36" s="25">
        <f>Лист2!G39/Лист2!G40</f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59"/>
    </row>
    <row r="37" spans="1:19" ht="54" thickBot="1">
      <c r="A37" s="8" t="s">
        <v>456</v>
      </c>
      <c r="B37" s="11" t="s">
        <v>457</v>
      </c>
      <c r="C37" s="9" t="s">
        <v>451</v>
      </c>
      <c r="D37" s="9" t="s">
        <v>458</v>
      </c>
      <c r="E37" s="25">
        <f>F35-E35</f>
        <v>0.009607545644172044</v>
      </c>
      <c r="F37" s="25">
        <f aca="true" t="shared" si="5" ref="F37:R38">G35-F35</f>
        <v>-0.028822636932516132</v>
      </c>
      <c r="G37" s="25">
        <f t="shared" si="5"/>
        <v>0.016975571521820026</v>
      </c>
      <c r="H37" s="25">
        <f t="shared" si="5"/>
        <v>-0.011090688800518833</v>
      </c>
      <c r="I37" s="25">
        <f t="shared" si="5"/>
        <v>-0.0021004871525455993</v>
      </c>
      <c r="J37" s="25">
        <f t="shared" si="5"/>
        <v>-0.002100487152545627</v>
      </c>
      <c r="K37" s="25">
        <f t="shared" si="5"/>
        <v>-0.0021004871525455993</v>
      </c>
      <c r="L37" s="25">
        <f t="shared" si="5"/>
        <v>-0.002100487152545627</v>
      </c>
      <c r="M37" s="25">
        <f t="shared" si="5"/>
        <v>-0.004872356481039258</v>
      </c>
      <c r="N37" s="25">
        <f t="shared" si="5"/>
        <v>-0.004809341866462896</v>
      </c>
      <c r="O37" s="25">
        <f t="shared" si="5"/>
        <v>-0.004663171172031716</v>
      </c>
      <c r="P37" s="25">
        <f t="shared" si="5"/>
        <v>-0.0045188909160378266</v>
      </c>
      <c r="Q37" s="25">
        <f t="shared" si="5"/>
        <v>-0.00437899578087686</v>
      </c>
      <c r="R37" s="25">
        <f t="shared" si="5"/>
        <v>-0.13706863933231445</v>
      </c>
      <c r="S37" s="59" t="s">
        <v>442</v>
      </c>
    </row>
    <row r="38" spans="1:19" ht="54" thickBot="1">
      <c r="A38" s="8" t="s">
        <v>459</v>
      </c>
      <c r="B38" s="11" t="s">
        <v>460</v>
      </c>
      <c r="C38" s="9" t="s">
        <v>451</v>
      </c>
      <c r="D38" s="9" t="s">
        <v>461</v>
      </c>
      <c r="E38" s="25">
        <f>F36-E36</f>
        <v>0.004985479267947318</v>
      </c>
      <c r="F38" s="25">
        <f t="shared" si="5"/>
        <v>-0.03125350868814025</v>
      </c>
      <c r="G38" s="25">
        <f t="shared" si="5"/>
        <v>-0.17683788226895447</v>
      </c>
      <c r="H38" s="25">
        <f t="shared" si="5"/>
        <v>0</v>
      </c>
      <c r="I38" s="25">
        <f t="shared" si="5"/>
        <v>0</v>
      </c>
      <c r="J38" s="25">
        <f t="shared" si="5"/>
        <v>0</v>
      </c>
      <c r="K38" s="25">
        <f t="shared" si="5"/>
        <v>0</v>
      </c>
      <c r="L38" s="25">
        <f t="shared" si="5"/>
        <v>0</v>
      </c>
      <c r="M38" s="25">
        <f t="shared" si="5"/>
        <v>0</v>
      </c>
      <c r="N38" s="25">
        <f t="shared" si="5"/>
        <v>0</v>
      </c>
      <c r="O38" s="25">
        <f t="shared" si="5"/>
        <v>0</v>
      </c>
      <c r="P38" s="25">
        <f t="shared" si="5"/>
        <v>0</v>
      </c>
      <c r="Q38" s="25">
        <f t="shared" si="5"/>
        <v>0</v>
      </c>
      <c r="R38" s="25">
        <f t="shared" si="5"/>
        <v>0</v>
      </c>
      <c r="S38" s="59" t="s">
        <v>442</v>
      </c>
    </row>
    <row r="39" spans="1:19" ht="90" thickBot="1">
      <c r="A39" s="8" t="s">
        <v>462</v>
      </c>
      <c r="B39" s="11" t="s">
        <v>463</v>
      </c>
      <c r="C39" s="9" t="s">
        <v>244</v>
      </c>
      <c r="D39" s="9" t="s">
        <v>464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59"/>
    </row>
    <row r="40" spans="1:19" ht="54" thickBot="1">
      <c r="A40" s="8" t="s">
        <v>465</v>
      </c>
      <c r="B40" s="11" t="s">
        <v>466</v>
      </c>
      <c r="C40" s="9" t="s">
        <v>467</v>
      </c>
      <c r="D40" s="9" t="s">
        <v>468</v>
      </c>
      <c r="E40" s="27">
        <f>Лист2!D41/Лист2!D42</f>
        <v>139.85555633021735</v>
      </c>
      <c r="F40" s="27">
        <f>Лист2!E41/Лист2!E42</f>
        <v>135.58600056901457</v>
      </c>
      <c r="G40" s="27">
        <f>Лист2!F41/Лист2!F42</f>
        <v>130.1598000744688</v>
      </c>
      <c r="H40" s="27">
        <f>Лист2!G41/Лист2!G42</f>
        <v>129.64819872900782</v>
      </c>
      <c r="I40" s="27">
        <f>Лист2!H41/Лист2!H42</f>
        <v>126.13388412699713</v>
      </c>
      <c r="J40" s="27">
        <f>Лист2!I41/Лист2!I42</f>
        <v>122.61956952498647</v>
      </c>
      <c r="K40" s="27">
        <f>Лист2!J41/Лист2!J42</f>
        <v>119.10525492297582</v>
      </c>
      <c r="L40" s="27">
        <f>Лист2!K41/Лист2!K42</f>
        <v>115.59094032096516</v>
      </c>
      <c r="M40" s="27">
        <f>Лист2!L41/Лист2!L42</f>
        <v>112.07662571895452</v>
      </c>
      <c r="N40" s="27">
        <f>Лист2!M41/Лист2!M42</f>
        <v>108.60889750932556</v>
      </c>
      <c r="O40" s="27">
        <f>Лист2!N41/Лист2!N42</f>
        <v>105.24659873775693</v>
      </c>
      <c r="P40" s="27">
        <f>Лист2!O41/Лист2!O42</f>
        <v>101.98833181247716</v>
      </c>
      <c r="Q40" s="27">
        <f>Лист2!P41/Лист2!P42</f>
        <v>98.83093385034445</v>
      </c>
      <c r="R40" s="27">
        <f>Лист2!Q41/Лист2!Q42</f>
        <v>95.77128389597013</v>
      </c>
      <c r="S40" s="59"/>
    </row>
    <row r="41" spans="1:19" ht="54" thickBot="1">
      <c r="A41" s="8" t="s">
        <v>469</v>
      </c>
      <c r="B41" s="11" t="s">
        <v>470</v>
      </c>
      <c r="C41" s="9" t="s">
        <v>467</v>
      </c>
      <c r="D41" s="9" t="s">
        <v>471</v>
      </c>
      <c r="E41" s="27">
        <f>Лист2!D43/Лист2!D44</f>
        <v>68.7022774145981</v>
      </c>
      <c r="F41" s="27">
        <f>Лист2!E43/Лист2!E44</f>
        <v>85.50105278059539</v>
      </c>
      <c r="G41" s="27">
        <f>Лист2!F43/Лист2!F44</f>
        <v>125.04378661985895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59"/>
    </row>
    <row r="42" spans="1:19" ht="54" thickBot="1">
      <c r="A42" s="5" t="s">
        <v>472</v>
      </c>
      <c r="B42" s="83" t="s">
        <v>473</v>
      </c>
      <c r="C42" s="6" t="s">
        <v>467</v>
      </c>
      <c r="D42" s="6" t="s">
        <v>474</v>
      </c>
      <c r="E42" s="61">
        <f>F40-E40</f>
        <v>-4.269555761202781</v>
      </c>
      <c r="F42" s="61">
        <f aca="true" t="shared" si="6" ref="F42:Q42">G40-F40</f>
        <v>-5.426200494545782</v>
      </c>
      <c r="G42" s="61">
        <f t="shared" si="6"/>
        <v>-0.5116013454609742</v>
      </c>
      <c r="H42" s="61">
        <f t="shared" si="6"/>
        <v>-3.5143146020106855</v>
      </c>
      <c r="I42" s="61">
        <f t="shared" si="6"/>
        <v>-3.514314602010657</v>
      </c>
      <c r="J42" s="61">
        <f t="shared" si="6"/>
        <v>-3.514314602010657</v>
      </c>
      <c r="K42" s="61">
        <f t="shared" si="6"/>
        <v>-3.514314602010657</v>
      </c>
      <c r="L42" s="61">
        <f t="shared" si="6"/>
        <v>-3.514314602010643</v>
      </c>
      <c r="M42" s="61">
        <f t="shared" si="6"/>
        <v>-3.467728209628959</v>
      </c>
      <c r="N42" s="61">
        <f t="shared" si="6"/>
        <v>-3.362298771568632</v>
      </c>
      <c r="O42" s="61">
        <f t="shared" si="6"/>
        <v>-3.25826692527977</v>
      </c>
      <c r="P42" s="61">
        <f t="shared" si="6"/>
        <v>-3.1573979621327055</v>
      </c>
      <c r="Q42" s="61">
        <f t="shared" si="6"/>
        <v>-3.059649954374322</v>
      </c>
      <c r="R42" s="61"/>
      <c r="S42" s="59" t="s">
        <v>442</v>
      </c>
    </row>
    <row r="43" spans="1:19" ht="54" thickBot="1">
      <c r="A43" s="5" t="s">
        <v>475</v>
      </c>
      <c r="B43" s="83" t="s">
        <v>476</v>
      </c>
      <c r="C43" s="6" t="s">
        <v>467</v>
      </c>
      <c r="D43" s="6" t="s">
        <v>477</v>
      </c>
      <c r="E43" s="61">
        <f>F41-E41</f>
        <v>16.798775365997287</v>
      </c>
      <c r="F43" s="61">
        <f aca="true" t="shared" si="7" ref="F43:Q43">G41-F41</f>
        <v>39.54273383926356</v>
      </c>
      <c r="G43" s="61">
        <f t="shared" si="7"/>
        <v>-125.04378661985895</v>
      </c>
      <c r="H43" s="61">
        <f t="shared" si="7"/>
        <v>0</v>
      </c>
      <c r="I43" s="61">
        <f t="shared" si="7"/>
        <v>0</v>
      </c>
      <c r="J43" s="61">
        <f t="shared" si="7"/>
        <v>0</v>
      </c>
      <c r="K43" s="61">
        <f t="shared" si="7"/>
        <v>0</v>
      </c>
      <c r="L43" s="61">
        <f t="shared" si="7"/>
        <v>0</v>
      </c>
      <c r="M43" s="61">
        <f t="shared" si="7"/>
        <v>0</v>
      </c>
      <c r="N43" s="61">
        <f t="shared" si="7"/>
        <v>0</v>
      </c>
      <c r="O43" s="61">
        <f t="shared" si="7"/>
        <v>0</v>
      </c>
      <c r="P43" s="61">
        <f t="shared" si="7"/>
        <v>0</v>
      </c>
      <c r="Q43" s="61">
        <f t="shared" si="7"/>
        <v>0</v>
      </c>
      <c r="R43" s="61"/>
      <c r="S43" s="59" t="s">
        <v>442</v>
      </c>
    </row>
    <row r="44" spans="1:19" ht="90" thickBot="1">
      <c r="A44" s="8" t="s">
        <v>478</v>
      </c>
      <c r="B44" s="11" t="s">
        <v>479</v>
      </c>
      <c r="C44" s="9" t="s">
        <v>244</v>
      </c>
      <c r="D44" s="9" t="s">
        <v>480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59"/>
    </row>
    <row r="45" spans="1:19" ht="54" thickBot="1">
      <c r="A45" s="8" t="s">
        <v>481</v>
      </c>
      <c r="B45" s="11" t="s">
        <v>482</v>
      </c>
      <c r="C45" s="9" t="s">
        <v>375</v>
      </c>
      <c r="D45" s="9" t="s">
        <v>167</v>
      </c>
      <c r="E45" s="27">
        <f>Лист2!D41/(Лист2!D41+Лист2!D43)*100</f>
        <v>89.0623153347145</v>
      </c>
      <c r="F45" s="27">
        <f>Лист2!E41/(Лист2!E41+Лист2!E43)*100</f>
        <v>89.98607665859618</v>
      </c>
      <c r="G45" s="27">
        <f>Лист2!F41/(Лист2!F41+Лист2!F43)*100</f>
        <v>90.3551466317533</v>
      </c>
      <c r="H45" s="27">
        <f>Лист2!G41/(Лист2!G41+Лист2!G43)*100</f>
        <v>100</v>
      </c>
      <c r="I45" s="27">
        <f>Лист2!H41/(Лист2!H41+Лист2!H43)*100</f>
        <v>100</v>
      </c>
      <c r="J45" s="27">
        <f>Лист2!I41/(Лист2!I41+Лист2!I43)*100</f>
        <v>100</v>
      </c>
      <c r="K45" s="27">
        <f>Лист2!J41/(Лист2!J41+Лист2!J43)*100</f>
        <v>100</v>
      </c>
      <c r="L45" s="27">
        <f>Лист2!K41/(Лист2!K41+Лист2!K43)*100</f>
        <v>100</v>
      </c>
      <c r="M45" s="27">
        <f>Лист2!L41/(Лист2!L41+Лист2!L43)*100</f>
        <v>100</v>
      </c>
      <c r="N45" s="27">
        <f>Лист2!M41/(Лист2!M41+Лист2!M43)*100</f>
        <v>100</v>
      </c>
      <c r="O45" s="27">
        <f>Лист2!N41/(Лист2!N41+Лист2!N43)*100</f>
        <v>100</v>
      </c>
      <c r="P45" s="27">
        <f>Лист2!O41/(Лист2!O41+Лист2!O43)*100</f>
        <v>100</v>
      </c>
      <c r="Q45" s="27">
        <f>Лист2!P41/(Лист2!P41+Лист2!P43)*100</f>
        <v>100</v>
      </c>
      <c r="R45" s="27">
        <f>Лист2!Q41/(Лист2!Q41+Лист2!Q43)*100</f>
        <v>100</v>
      </c>
      <c r="S45" s="59"/>
    </row>
    <row r="46" spans="1:19" ht="54" thickBot="1">
      <c r="A46" s="8" t="s">
        <v>483</v>
      </c>
      <c r="B46" s="11" t="s">
        <v>484</v>
      </c>
      <c r="C46" s="9" t="s">
        <v>375</v>
      </c>
      <c r="D46" s="9" t="s">
        <v>485</v>
      </c>
      <c r="E46" s="27">
        <f>Лист2!D33/(Лист2!D33+Лист2!D35)*100</f>
        <v>35.446473269570255</v>
      </c>
      <c r="F46" s="27">
        <f>Лист2!E33/(Лист2!E33+Лист2!E35)*100</f>
        <v>59.10561344894334</v>
      </c>
      <c r="G46" s="27">
        <f>Лист2!F33/(Лист2!F33+Лист2!F35)*100</f>
        <v>64.61704177067043</v>
      </c>
      <c r="H46" s="27">
        <f>Лист2!G33/(Лист2!G33+Лист2!G35)*100</f>
        <v>100</v>
      </c>
      <c r="I46" s="27">
        <f>Лист2!H33/(Лист2!H33+Лист2!H35)*100</f>
        <v>100</v>
      </c>
      <c r="J46" s="27">
        <f>Лист2!I33/(Лист2!I33+Лист2!I35)*100</f>
        <v>100</v>
      </c>
      <c r="K46" s="27">
        <f>Лист2!J33/(Лист2!J33+Лист2!J35)*100</f>
        <v>100</v>
      </c>
      <c r="L46" s="27">
        <f>Лист2!K33/(Лист2!K33+Лист2!K35)*100</f>
        <v>100</v>
      </c>
      <c r="M46" s="27">
        <f>Лист2!L33/(Лист2!L33+Лист2!L35)*100</f>
        <v>100</v>
      </c>
      <c r="N46" s="27">
        <f>Лист2!M33/(Лист2!M33+Лист2!M35)*100</f>
        <v>100</v>
      </c>
      <c r="O46" s="27">
        <f>Лист2!N33/(Лист2!N33+Лист2!N35)*100</f>
        <v>100</v>
      </c>
      <c r="P46" s="27">
        <f>Лист2!O33/(Лист2!O33+Лист2!O35)*100</f>
        <v>100</v>
      </c>
      <c r="Q46" s="27">
        <f>Лист2!P33/(Лист2!P33+Лист2!P35)*100</f>
        <v>100</v>
      </c>
      <c r="R46" s="27">
        <f>Лист2!Q33/(Лист2!Q33+Лист2!Q35)*100</f>
        <v>100</v>
      </c>
      <c r="S46" s="59"/>
    </row>
    <row r="47" spans="1:19" ht="72" thickBot="1">
      <c r="A47" s="8" t="s">
        <v>486</v>
      </c>
      <c r="B47" s="11" t="s">
        <v>487</v>
      </c>
      <c r="C47" s="9" t="s">
        <v>375</v>
      </c>
      <c r="D47" s="9" t="s">
        <v>488</v>
      </c>
      <c r="E47" s="27">
        <f>Лист2!D37/(Лист2!D37+Лист2!D39)*100</f>
        <v>40.33965050455329</v>
      </c>
      <c r="F47" s="27">
        <f>Лист2!E37/(Лист2!E37+Лист2!E39)*100</f>
        <v>40.99548586362556</v>
      </c>
      <c r="G47" s="27">
        <f>Лист2!F37/(Лист2!F37+Лист2!F39)*100</f>
        <v>40.98979449182161</v>
      </c>
      <c r="H47" s="27">
        <f>Лист2!G37/(Лист2!G37+Лист2!G39)*100</f>
        <v>100</v>
      </c>
      <c r="I47" s="27">
        <f>Лист2!H37/(Лист2!H37+Лист2!H39)*100</f>
        <v>100</v>
      </c>
      <c r="J47" s="27">
        <f>Лист2!I37/(Лист2!I37+Лист2!I39)*100</f>
        <v>100</v>
      </c>
      <c r="K47" s="27">
        <f>Лист2!J37/(Лист2!J37+Лист2!J39)*100</f>
        <v>100</v>
      </c>
      <c r="L47" s="27">
        <f>Лист2!K37/(Лист2!K37+Лист2!K39)*100</f>
        <v>100</v>
      </c>
      <c r="M47" s="27">
        <f>Лист2!L37/(Лист2!L37+Лист2!L39)*100</f>
        <v>100</v>
      </c>
      <c r="N47" s="27">
        <f>Лист2!M37/(Лист2!M37+Лист2!M39)*100</f>
        <v>100</v>
      </c>
      <c r="O47" s="27">
        <f>Лист2!N37/(Лист2!N37+Лист2!N39)*100</f>
        <v>100</v>
      </c>
      <c r="P47" s="27">
        <f>Лист2!O37/(Лист2!O37+Лист2!O39)*100</f>
        <v>100</v>
      </c>
      <c r="Q47" s="27">
        <f>Лист2!P37/(Лист2!P37+Лист2!P39)*100</f>
        <v>100</v>
      </c>
      <c r="R47" s="27">
        <f>Лист2!Q37/(Лист2!Q37+Лист2!Q39)*100</f>
        <v>100</v>
      </c>
      <c r="S47" s="59"/>
    </row>
    <row r="48" spans="1:19" ht="72" thickBot="1">
      <c r="A48" s="8" t="s">
        <v>489</v>
      </c>
      <c r="B48" s="11" t="s">
        <v>490</v>
      </c>
      <c r="C48" s="9" t="s">
        <v>244</v>
      </c>
      <c r="D48" s="9" t="s">
        <v>491</v>
      </c>
      <c r="E48" s="27">
        <f>Лист2!D46/Лист2!D45*100</f>
        <v>95.11364682064968</v>
      </c>
      <c r="F48" s="27">
        <f>Лист2!E46/Лист2!E45*100</f>
        <v>97.59742293409691</v>
      </c>
      <c r="G48" s="27">
        <f>Лист2!F46/Лист2!F45*100</f>
        <v>98.33616416513571</v>
      </c>
      <c r="H48" s="27">
        <f>Лист2!G46/Лист2!G45*100</f>
        <v>100</v>
      </c>
      <c r="I48" s="27">
        <f>Лист2!H46/Лист2!H45*100</f>
        <v>100</v>
      </c>
      <c r="J48" s="27">
        <f>Лист2!I46/Лист2!I45*100</f>
        <v>100</v>
      </c>
      <c r="K48" s="27">
        <f>Лист2!J46/Лист2!J45*100</f>
        <v>100</v>
      </c>
      <c r="L48" s="27">
        <f>Лист2!K46/Лист2!K45*100</f>
        <v>100</v>
      </c>
      <c r="M48" s="27">
        <f>Лист2!L46/Лист2!L45*100</f>
        <v>100</v>
      </c>
      <c r="N48" s="27">
        <f>Лист2!M46/Лист2!M45*100</f>
        <v>100</v>
      </c>
      <c r="O48" s="27">
        <f>Лист2!N46/Лист2!N45*100</f>
        <v>100</v>
      </c>
      <c r="P48" s="27">
        <f>Лист2!O46/Лист2!O45*100</f>
        <v>100</v>
      </c>
      <c r="Q48" s="27">
        <f>Лист2!P46/Лист2!P45*100</f>
        <v>100</v>
      </c>
      <c r="R48" s="27">
        <f>Лист2!Q46/Лист2!Q45*100</f>
        <v>100</v>
      </c>
      <c r="S48" s="59"/>
    </row>
    <row r="49" spans="1:19" ht="36" thickBot="1">
      <c r="A49" s="8" t="s">
        <v>492</v>
      </c>
      <c r="B49" s="11" t="s">
        <v>493</v>
      </c>
      <c r="C49" s="6"/>
      <c r="D49" s="6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35.25" thickBot="1">
      <c r="A50" s="8" t="s">
        <v>494</v>
      </c>
      <c r="B50" s="11" t="s">
        <v>495</v>
      </c>
      <c r="C50" s="9" t="s">
        <v>375</v>
      </c>
      <c r="D50" s="9" t="s">
        <v>496</v>
      </c>
      <c r="E50" s="62">
        <f>Лист2!D49/Лист2!D47</f>
        <v>0.04699213399397204</v>
      </c>
      <c r="F50" s="62">
        <f>Лист2!E49/Лист2!E47</f>
        <v>0.032656336254003424</v>
      </c>
      <c r="G50" s="62">
        <f>Лист2!F49/Лист2!F47</f>
        <v>0.029093309387274734</v>
      </c>
      <c r="H50" s="62">
        <f>Лист2!G49/Лист2!G47</f>
        <v>0.046563678711642874</v>
      </c>
      <c r="I50" s="62">
        <f>Лист2!H49/Лист2!H47</f>
        <v>0.04053241684860284</v>
      </c>
      <c r="J50" s="62">
        <f>Лист2!I49/Лист2!I47</f>
        <v>0.050776602442241504</v>
      </c>
      <c r="K50" s="62">
        <f>Лист2!J49/Лист2!J47</f>
        <v>0.04977280703029652</v>
      </c>
      <c r="L50" s="62">
        <f>Лист2!K49/Лист2!K47</f>
        <v>0.048769011618351524</v>
      </c>
      <c r="M50" s="62">
        <f>Лист2!L49/Лист2!L47</f>
        <v>0.04776521620640654</v>
      </c>
      <c r="N50" s="62">
        <f>Лист2!M49/Лист2!M47</f>
        <v>0.04630214585785599</v>
      </c>
      <c r="O50" s="62">
        <f>Лист2!N49/Лист2!N47</f>
        <v>0.0448691893716638</v>
      </c>
      <c r="P50" s="62">
        <f>Лист2!O49/Лист2!O47</f>
        <v>0.04348012499592812</v>
      </c>
      <c r="Q50" s="62">
        <f>Лист2!P49/Лист2!P47</f>
        <v>0.0421340493147782</v>
      </c>
      <c r="R50" s="62">
        <f>Лист2!Q49/Лист2!Q47</f>
        <v>0.04082964556490036</v>
      </c>
      <c r="S50" s="59" t="s">
        <v>497</v>
      </c>
    </row>
    <row r="51" spans="1:19" ht="36" thickBot="1">
      <c r="A51" s="5" t="s">
        <v>494</v>
      </c>
      <c r="B51" s="83" t="s">
        <v>498</v>
      </c>
      <c r="C51" s="6" t="s">
        <v>375</v>
      </c>
      <c r="D51" s="6" t="s">
        <v>499</v>
      </c>
      <c r="E51" s="63">
        <f>Лист2!D49/Лист2!D47</f>
        <v>0.04699213399397204</v>
      </c>
      <c r="F51" s="63">
        <f>Лист2!E49/Лист2!D47</f>
        <v>0.05185537970031909</v>
      </c>
      <c r="G51" s="63">
        <f>Лист2!F49/Лист2!D47</f>
        <v>0.05519944039097185</v>
      </c>
      <c r="H51" s="63">
        <f>Лист2!G49/Лист2!D47</f>
        <v>0.0870792363196926</v>
      </c>
      <c r="I51" s="63">
        <f>Лист2!H49/Лист2!D47</f>
        <v>0.08542325310796343</v>
      </c>
      <c r="J51" s="63">
        <f>Лист2!I49/Лист2!D47</f>
        <v>0.08376726989623427</v>
      </c>
      <c r="K51" s="63">
        <f>Лист2!J49/Лист2!D47</f>
        <v>0.08211128668450511</v>
      </c>
      <c r="L51" s="63">
        <f>Лист2!K49/Лист2!D47</f>
        <v>0.08045530347277596</v>
      </c>
      <c r="M51" s="63">
        <f>Лист2!L49/Лист2!D47</f>
        <v>0.0787993202610468</v>
      </c>
      <c r="N51" s="63">
        <f>Лист2!M49/Лист2!D47</f>
        <v>0.07638566115686353</v>
      </c>
      <c r="O51" s="63">
        <f>Лист2!N49/Лист2!D47</f>
        <v>0.07402168154903213</v>
      </c>
      <c r="P51" s="63">
        <f>Лист2!O49/Лист2!D47</f>
        <v>0.07173011171432622</v>
      </c>
      <c r="Q51" s="63">
        <f>Лист2!P49/Лист2!D47</f>
        <v>0.06950946126785526</v>
      </c>
      <c r="R51" s="63">
        <f>Лист2!Q49/Лист2!D47</f>
        <v>0.06735755791642548</v>
      </c>
      <c r="S51" s="59" t="s">
        <v>500</v>
      </c>
    </row>
    <row r="52" spans="1:19" ht="54" thickBot="1">
      <c r="A52" s="8" t="s">
        <v>501</v>
      </c>
      <c r="B52" s="82" t="s">
        <v>502</v>
      </c>
      <c r="C52" s="12"/>
      <c r="D52" s="9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59"/>
    </row>
    <row r="53" spans="1:19" ht="36" thickBot="1">
      <c r="A53" s="8" t="s">
        <v>503</v>
      </c>
      <c r="B53" s="11" t="s">
        <v>495</v>
      </c>
      <c r="C53" s="9" t="s">
        <v>227</v>
      </c>
      <c r="D53" s="9" t="s">
        <v>504</v>
      </c>
      <c r="E53" s="62">
        <f>F51-E51</f>
        <v>0.0048632457063470455</v>
      </c>
      <c r="F53" s="62">
        <f aca="true" t="shared" si="8" ref="F53:Q53">G51-F51</f>
        <v>0.00334406069065276</v>
      </c>
      <c r="G53" s="62">
        <f t="shared" si="8"/>
        <v>0.03187979592872075</v>
      </c>
      <c r="H53" s="62">
        <f t="shared" si="8"/>
        <v>-0.0016559832117291617</v>
      </c>
      <c r="I53" s="62">
        <f t="shared" si="8"/>
        <v>-0.0016559832117291617</v>
      </c>
      <c r="J53" s="62">
        <f t="shared" si="8"/>
        <v>-0.0016559832117291617</v>
      </c>
      <c r="K53" s="62">
        <f t="shared" si="8"/>
        <v>-0.0016559832117291479</v>
      </c>
      <c r="L53" s="62">
        <f t="shared" si="8"/>
        <v>-0.0016559832117291617</v>
      </c>
      <c r="M53" s="62">
        <f t="shared" si="8"/>
        <v>-0.0024136591041832717</v>
      </c>
      <c r="N53" s="62">
        <f t="shared" si="8"/>
        <v>-0.0023639796078313985</v>
      </c>
      <c r="O53" s="62">
        <f t="shared" si="8"/>
        <v>-0.002291569834705909</v>
      </c>
      <c r="P53" s="62">
        <f t="shared" si="8"/>
        <v>-0.002220650446470962</v>
      </c>
      <c r="Q53" s="62">
        <f t="shared" si="8"/>
        <v>-0.0021519033514297847</v>
      </c>
      <c r="R53" s="62"/>
      <c r="S53" s="74" t="s">
        <v>442</v>
      </c>
    </row>
    <row r="54" spans="1:19" ht="36" thickBot="1">
      <c r="A54" s="5" t="s">
        <v>505</v>
      </c>
      <c r="B54" s="83" t="s">
        <v>498</v>
      </c>
      <c r="C54" s="6" t="s">
        <v>227</v>
      </c>
      <c r="D54" s="6" t="s">
        <v>506</v>
      </c>
      <c r="E54" s="63">
        <f>F51-E51</f>
        <v>0.0048632457063470455</v>
      </c>
      <c r="F54" s="63">
        <f aca="true" t="shared" si="9" ref="F54:Q54">G51-F51</f>
        <v>0.00334406069065276</v>
      </c>
      <c r="G54" s="63">
        <f t="shared" si="9"/>
        <v>0.03187979592872075</v>
      </c>
      <c r="H54" s="63">
        <f t="shared" si="9"/>
        <v>-0.0016559832117291617</v>
      </c>
      <c r="I54" s="63">
        <f t="shared" si="9"/>
        <v>-0.0016559832117291617</v>
      </c>
      <c r="J54" s="63">
        <f t="shared" si="9"/>
        <v>-0.0016559832117291617</v>
      </c>
      <c r="K54" s="63">
        <f t="shared" si="9"/>
        <v>-0.0016559832117291479</v>
      </c>
      <c r="L54" s="63">
        <f t="shared" si="9"/>
        <v>-0.0016559832117291617</v>
      </c>
      <c r="M54" s="63">
        <f t="shared" si="9"/>
        <v>-0.0024136591041832717</v>
      </c>
      <c r="N54" s="63">
        <f t="shared" si="9"/>
        <v>-0.0023639796078313985</v>
      </c>
      <c r="O54" s="63">
        <f t="shared" si="9"/>
        <v>-0.002291569834705909</v>
      </c>
      <c r="P54" s="63">
        <f t="shared" si="9"/>
        <v>-0.002220650446470962</v>
      </c>
      <c r="Q54" s="63">
        <f t="shared" si="9"/>
        <v>-0.0021519033514297847</v>
      </c>
      <c r="R54" s="59"/>
      <c r="S54" s="74" t="s">
        <v>442</v>
      </c>
    </row>
    <row r="55" spans="1:19" ht="54" thickBot="1">
      <c r="A55" s="8" t="s">
        <v>507</v>
      </c>
      <c r="B55" s="11" t="s">
        <v>508</v>
      </c>
      <c r="C55" s="9" t="s">
        <v>375</v>
      </c>
      <c r="D55" s="9" t="s">
        <v>509</v>
      </c>
      <c r="E55" s="25">
        <f>Лист2!D51/Лист2!D47</f>
        <v>0</v>
      </c>
      <c r="F55" s="25">
        <f>Лист2!E51/Лист2!E47</f>
        <v>0</v>
      </c>
      <c r="G55" s="25">
        <f>Лист2!F51/Лист2!F47</f>
        <v>0</v>
      </c>
      <c r="H55" s="25">
        <f>Лист2!G51/Лист2!G47</f>
        <v>0</v>
      </c>
      <c r="I55" s="25">
        <f>Лист2!H51/Лист2!H47</f>
        <v>0</v>
      </c>
      <c r="J55" s="25">
        <f>Лист2!I51/Лист2!I47</f>
        <v>0</v>
      </c>
      <c r="K55" s="25">
        <f>Лист2!J51/Лист2!J47</f>
        <v>0</v>
      </c>
      <c r="L55" s="25">
        <f>Лист2!K51/Лист2!K47</f>
        <v>0</v>
      </c>
      <c r="M55" s="25">
        <f>Лист2!L51/Лист2!L47</f>
        <v>0</v>
      </c>
      <c r="N55" s="25">
        <f>Лист2!M51/Лист2!M47</f>
        <v>0</v>
      </c>
      <c r="O55" s="25">
        <f>Лист2!N51/Лист2!N47</f>
        <v>0</v>
      </c>
      <c r="P55" s="25">
        <f>Лист2!O51/Лист2!O47</f>
        <v>0</v>
      </c>
      <c r="Q55" s="25">
        <f>Лист2!P51/Лист2!P47</f>
        <v>0</v>
      </c>
      <c r="R55" s="25">
        <f>Лист2!Q51/Лист2!Q47</f>
        <v>0</v>
      </c>
      <c r="S55" s="59"/>
    </row>
    <row r="56" spans="1:19" ht="54" thickBot="1">
      <c r="A56" s="8" t="s">
        <v>510</v>
      </c>
      <c r="B56" s="11" t="s">
        <v>511</v>
      </c>
      <c r="C56" s="9" t="s">
        <v>227</v>
      </c>
      <c r="D56" s="9" t="s">
        <v>512</v>
      </c>
      <c r="E56" s="25">
        <f>F55-E55</f>
        <v>0</v>
      </c>
      <c r="F56" s="25">
        <f aca="true" t="shared" si="10" ref="F56:Q56">G55-F55</f>
        <v>0</v>
      </c>
      <c r="G56" s="25">
        <f t="shared" si="10"/>
        <v>0</v>
      </c>
      <c r="H56" s="25">
        <f t="shared" si="10"/>
        <v>0</v>
      </c>
      <c r="I56" s="25">
        <f t="shared" si="10"/>
        <v>0</v>
      </c>
      <c r="J56" s="25">
        <f t="shared" si="10"/>
        <v>0</v>
      </c>
      <c r="K56" s="25">
        <f t="shared" si="10"/>
        <v>0</v>
      </c>
      <c r="L56" s="25">
        <f t="shared" si="10"/>
        <v>0</v>
      </c>
      <c r="M56" s="25">
        <f t="shared" si="10"/>
        <v>0</v>
      </c>
      <c r="N56" s="25">
        <f t="shared" si="10"/>
        <v>0</v>
      </c>
      <c r="O56" s="25">
        <f t="shared" si="10"/>
        <v>0</v>
      </c>
      <c r="P56" s="25">
        <f t="shared" si="10"/>
        <v>0</v>
      </c>
      <c r="Q56" s="25">
        <f t="shared" si="10"/>
        <v>0</v>
      </c>
      <c r="R56" s="25"/>
      <c r="S56" s="59" t="s">
        <v>442</v>
      </c>
    </row>
    <row r="57" spans="1:19" ht="54" thickBot="1">
      <c r="A57" s="8" t="s">
        <v>513</v>
      </c>
      <c r="B57" s="11" t="s">
        <v>514</v>
      </c>
      <c r="C57" s="9" t="s">
        <v>375</v>
      </c>
      <c r="D57" s="9" t="s">
        <v>168</v>
      </c>
      <c r="E57" s="25">
        <f>Лист2!D54/Лист2!D53*100</f>
        <v>0</v>
      </c>
      <c r="F57" s="25">
        <f>Лист2!E54/Лист2!E53*100</f>
        <v>0</v>
      </c>
      <c r="G57" s="25">
        <f>Лист2!F54/Лист2!F53*100</f>
        <v>0</v>
      </c>
      <c r="H57" s="25">
        <f>Лист2!G54/Лист2!G53*100</f>
        <v>0</v>
      </c>
      <c r="I57" s="25">
        <f>Лист2!H54/Лист2!H53*100</f>
        <v>0</v>
      </c>
      <c r="J57" s="25">
        <f>Лист2!I54/Лист2!I53*100</f>
        <v>89.78622327790974</v>
      </c>
      <c r="K57" s="25">
        <f>Лист2!J54/Лист2!J53*100</f>
        <v>0</v>
      </c>
      <c r="L57" s="25">
        <f>Лист2!K54/Лист2!K53*100</f>
        <v>0</v>
      </c>
      <c r="M57" s="25">
        <f>Лист2!L54/Лист2!L53*100</f>
        <v>0</v>
      </c>
      <c r="N57" s="25">
        <f>Лист2!M54/Лист2!M53*100</f>
        <v>0</v>
      </c>
      <c r="O57" s="25">
        <f>Лист2!N54/Лист2!N53*100</f>
        <v>0</v>
      </c>
      <c r="P57" s="25">
        <f>Лист2!O54/Лист2!O53*100</f>
        <v>89.78622327790974</v>
      </c>
      <c r="Q57" s="25">
        <f>Лист2!P54/Лист2!P53*100</f>
        <v>0</v>
      </c>
      <c r="R57" s="25">
        <f>Лист2!Q54/Лист2!Q53*100</f>
        <v>0</v>
      </c>
      <c r="S57" s="75"/>
    </row>
    <row r="58" spans="1:19" ht="36" thickBot="1">
      <c r="A58" s="8" t="s">
        <v>515</v>
      </c>
      <c r="B58" s="11" t="s">
        <v>516</v>
      </c>
      <c r="C58" s="9" t="s">
        <v>229</v>
      </c>
      <c r="D58" s="9" t="s">
        <v>286</v>
      </c>
      <c r="E58" s="25">
        <f>Лист2!D55</f>
        <v>0</v>
      </c>
      <c r="F58" s="25">
        <f>Лист2!E55</f>
        <v>0</v>
      </c>
      <c r="G58" s="25">
        <f>Лист2!F55</f>
        <v>0</v>
      </c>
      <c r="H58" s="25">
        <f>Лист2!G55</f>
        <v>0</v>
      </c>
      <c r="I58" s="25">
        <f>Лист2!H55</f>
        <v>0</v>
      </c>
      <c r="J58" s="25">
        <f>Лист2!I55</f>
        <v>421</v>
      </c>
      <c r="K58" s="25">
        <f>Лист2!J55</f>
        <v>421</v>
      </c>
      <c r="L58" s="25">
        <f>Лист2!K55</f>
        <v>421</v>
      </c>
      <c r="M58" s="25">
        <f>Лист2!L55</f>
        <v>421</v>
      </c>
      <c r="N58" s="25">
        <f>Лист2!M55</f>
        <v>421</v>
      </c>
      <c r="O58" s="25">
        <f>Лист2!N55</f>
        <v>421</v>
      </c>
      <c r="P58" s="25">
        <f>Лист2!O55</f>
        <v>421</v>
      </c>
      <c r="Q58" s="25">
        <f>Лист2!P55</f>
        <v>421</v>
      </c>
      <c r="R58" s="25">
        <f>Лист2!Q55</f>
        <v>421</v>
      </c>
      <c r="S58" s="75"/>
    </row>
    <row r="59" spans="1:19" ht="54" thickBot="1">
      <c r="A59" s="8" t="s">
        <v>517</v>
      </c>
      <c r="B59" s="11" t="s">
        <v>518</v>
      </c>
      <c r="C59" s="9" t="s">
        <v>375</v>
      </c>
      <c r="D59" s="9" t="s">
        <v>169</v>
      </c>
      <c r="E59" s="25">
        <f>Лист2!D57/Лист2!D56*100</f>
        <v>0</v>
      </c>
      <c r="F59" s="25">
        <f>Лист2!E57/Лист2!E56*100</f>
        <v>0</v>
      </c>
      <c r="G59" s="25">
        <f>Лист2!F57/Лист2!F56*100</f>
        <v>0</v>
      </c>
      <c r="H59" s="25">
        <f>Лист2!G57/Лист2!G56*100</f>
        <v>0</v>
      </c>
      <c r="I59" s="25">
        <f>Лист2!H57/Лист2!H56*100</f>
        <v>8.830022075055188</v>
      </c>
      <c r="J59" s="25">
        <f>Лист2!I57/Лист2!I56*100</f>
        <v>100</v>
      </c>
      <c r="K59" s="25">
        <f>Лист2!J57/Лист2!J56*100</f>
        <v>100</v>
      </c>
      <c r="L59" s="25">
        <f>Лист2!K57/Лист2!K56*100</f>
        <v>100</v>
      </c>
      <c r="M59" s="25">
        <f>Лист2!L57/Лист2!L56*100</f>
        <v>100</v>
      </c>
      <c r="N59" s="25">
        <f>Лист2!M57/Лист2!M56*100</f>
        <v>100</v>
      </c>
      <c r="O59" s="25">
        <f>Лист2!N57/Лист2!N56*100</f>
        <v>100</v>
      </c>
      <c r="P59" s="25">
        <f>Лист2!O57/Лист2!O56*100</f>
        <v>100</v>
      </c>
      <c r="Q59" s="25">
        <f>Лист2!P57/Лист2!P56*100</f>
        <v>100</v>
      </c>
      <c r="R59" s="25">
        <f>Лист2!Q57/Лист2!Q56*100</f>
        <v>100</v>
      </c>
      <c r="S59" s="75"/>
    </row>
    <row r="60" spans="1:19" ht="90" thickBot="1">
      <c r="A60" s="8" t="s">
        <v>519</v>
      </c>
      <c r="B60" s="11" t="s">
        <v>520</v>
      </c>
      <c r="C60" s="9" t="s">
        <v>375</v>
      </c>
      <c r="D60" s="9" t="s">
        <v>170</v>
      </c>
      <c r="E60" s="25">
        <f>Лист2!D60/Лист2!D58*100</f>
        <v>0</v>
      </c>
      <c r="F60" s="25">
        <f>Лист2!E60/Лист2!E58*100</f>
        <v>0</v>
      </c>
      <c r="G60" s="25">
        <f>Лист2!F60/Лист2!F58*100</f>
        <v>0</v>
      </c>
      <c r="H60" s="25">
        <f>Лист2!G60/Лист2!G58*100</f>
        <v>0</v>
      </c>
      <c r="I60" s="25">
        <f>Лист2!H60/Лист2!H58*100</f>
        <v>100</v>
      </c>
      <c r="J60" s="25">
        <f>Лист2!I60/Лист2!I58*100</f>
        <v>100</v>
      </c>
      <c r="K60" s="25">
        <f>Лист2!J60/Лист2!J58*100</f>
        <v>100</v>
      </c>
      <c r="L60" s="25">
        <f>Лист2!K60/Лист2!K58*100</f>
        <v>100</v>
      </c>
      <c r="M60" s="25">
        <f>Лист2!L60/Лист2!L58*100</f>
        <v>100</v>
      </c>
      <c r="N60" s="25">
        <f>Лист2!M60/Лист2!M58*100</f>
        <v>100</v>
      </c>
      <c r="O60" s="25">
        <f>Лист2!N60/Лист2!N58*100</f>
        <v>100</v>
      </c>
      <c r="P60" s="25">
        <f>Лист2!O60/Лист2!O58*100</f>
        <v>100</v>
      </c>
      <c r="Q60" s="25">
        <f>Лист2!P60/Лист2!P58*100</f>
        <v>100</v>
      </c>
      <c r="R60" s="25">
        <f>Лист2!Q60/Лист2!Q58*100</f>
        <v>100</v>
      </c>
      <c r="S60" s="75"/>
    </row>
    <row r="61" spans="1:19" ht="54" thickBot="1">
      <c r="A61" s="8" t="s">
        <v>521</v>
      </c>
      <c r="B61" s="82" t="s">
        <v>522</v>
      </c>
      <c r="C61" s="22" t="s">
        <v>523</v>
      </c>
      <c r="D61" s="9" t="s">
        <v>524</v>
      </c>
      <c r="E61" s="27">
        <f>Лист2!D62/Лист2!D64</f>
        <v>0</v>
      </c>
      <c r="F61" s="27">
        <f>Лист2!E62/Лист2!E64</f>
        <v>0</v>
      </c>
      <c r="G61" s="27">
        <f>Лист2!F62/Лист2!F64</f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75"/>
    </row>
    <row r="62" spans="1:19" ht="18" thickBot="1">
      <c r="A62" s="156" t="s">
        <v>525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</row>
    <row r="63" spans="1:19" ht="108" thickBot="1">
      <c r="A63" s="8" t="s">
        <v>526</v>
      </c>
      <c r="B63" s="11" t="s">
        <v>527</v>
      </c>
      <c r="C63" s="9" t="s">
        <v>375</v>
      </c>
      <c r="D63" s="9" t="s">
        <v>528</v>
      </c>
      <c r="E63" s="27">
        <f>Лист2!D67/Лист2!D65*100</f>
        <v>95.40280914011706</v>
      </c>
      <c r="F63" s="27">
        <f>Лист2!E67/Лист2!E65*100</f>
        <v>95.81899965952125</v>
      </c>
      <c r="G63" s="27">
        <f>Лист2!F67/Лист2!F65*100</f>
        <v>96.15253129219805</v>
      </c>
      <c r="H63" s="27">
        <f>Лист2!G67/Лист2!G65*100</f>
        <v>98.00000000000001</v>
      </c>
      <c r="I63" s="27">
        <f>Лист2!H67/Лист2!H65*100</f>
        <v>98</v>
      </c>
      <c r="J63" s="27">
        <f>Лист2!I67/Лист2!I65*100</f>
        <v>98.00000000000001</v>
      </c>
      <c r="K63" s="27">
        <f>Лист2!J67/Лист2!J65*100</f>
        <v>100</v>
      </c>
      <c r="L63" s="27">
        <f>Лист2!K67/Лист2!K65*100</f>
        <v>100</v>
      </c>
      <c r="M63" s="27">
        <f>Лист2!L67/Лист2!L65*100</f>
        <v>100</v>
      </c>
      <c r="N63" s="27">
        <f>Лист2!M67/Лист2!M65*100</f>
        <v>100</v>
      </c>
      <c r="O63" s="27">
        <f>Лист2!N67/Лист2!N65*100</f>
        <v>100</v>
      </c>
      <c r="P63" s="27">
        <f>Лист2!O67/Лист2!O65*100</f>
        <v>100</v>
      </c>
      <c r="Q63" s="27">
        <f>Лист2!P67/Лист2!P65*100</f>
        <v>100</v>
      </c>
      <c r="R63" s="27">
        <f>Лист2!Q67/Лист2!Q65*100</f>
        <v>100</v>
      </c>
      <c r="S63" s="59"/>
    </row>
    <row r="64" spans="1:19" ht="90" thickBot="1">
      <c r="A64" s="8" t="s">
        <v>529</v>
      </c>
      <c r="B64" s="11" t="s">
        <v>530</v>
      </c>
      <c r="C64" s="9" t="s">
        <v>375</v>
      </c>
      <c r="D64" s="9" t="s">
        <v>531</v>
      </c>
      <c r="E64" s="27">
        <f>Лист2!D72/Лист2!D70*100</f>
        <v>0</v>
      </c>
      <c r="F64" s="27">
        <f>Лист2!E72/Лист2!E70*100</f>
        <v>0</v>
      </c>
      <c r="G64" s="27">
        <f>Лист2!F72/Лист2!F70*100</f>
        <v>0</v>
      </c>
      <c r="H64" s="27">
        <f>Лист2!G72/Лист2!G70*100</f>
        <v>30</v>
      </c>
      <c r="I64" s="27">
        <f>Лист2!H72/Лист2!H70*100</f>
        <v>50</v>
      </c>
      <c r="J64" s="27">
        <f>Лист2!I72/Лист2!I70*100</f>
        <v>100</v>
      </c>
      <c r="K64" s="27">
        <f>Лист2!J72/Лист2!J70*100</f>
        <v>100</v>
      </c>
      <c r="L64" s="27">
        <f>Лист2!K72/Лист2!K70*100</f>
        <v>100</v>
      </c>
      <c r="M64" s="27">
        <f>Лист2!L72/Лист2!L70*100</f>
        <v>100</v>
      </c>
      <c r="N64" s="27">
        <f>Лист2!M72/Лист2!M70*100</f>
        <v>100</v>
      </c>
      <c r="O64" s="27">
        <f>Лист2!N72/Лист2!N70*100</f>
        <v>100</v>
      </c>
      <c r="P64" s="27">
        <f>Лист2!O72/Лист2!O70*100</f>
        <v>100</v>
      </c>
      <c r="Q64" s="27">
        <f>Лист2!P72/Лист2!P70*100</f>
        <v>100</v>
      </c>
      <c r="R64" s="27">
        <f>Лист2!Q72/Лист2!Q70*100</f>
        <v>100</v>
      </c>
      <c r="S64" s="59"/>
    </row>
    <row r="65" spans="1:19" ht="108" thickBot="1">
      <c r="A65" s="8" t="s">
        <v>532</v>
      </c>
      <c r="B65" s="11" t="s">
        <v>533</v>
      </c>
      <c r="C65" s="9" t="s">
        <v>375</v>
      </c>
      <c r="D65" s="9" t="s">
        <v>534</v>
      </c>
      <c r="E65" s="27">
        <f>Лист2!D74/Лист2!D70*100</f>
        <v>48.64946830598958</v>
      </c>
      <c r="F65" s="27">
        <f>Лист2!E74/Лист2!E70*100</f>
        <v>48.77711944326588</v>
      </c>
      <c r="G65" s="27">
        <f>Лист2!F74/Лист2!F70*100</f>
        <v>49.50159589444543</v>
      </c>
      <c r="H65" s="27">
        <f>Лист2!G74/Лист2!G70*100</f>
        <v>70</v>
      </c>
      <c r="I65" s="27">
        <f>Лист2!H74/Лист2!H70*100</f>
        <v>90</v>
      </c>
      <c r="J65" s="27">
        <f>Лист2!I74/Лист2!I70*100</f>
        <v>100</v>
      </c>
      <c r="K65" s="27">
        <f>Лист2!J74/Лист2!J70*100</f>
        <v>100</v>
      </c>
      <c r="L65" s="27">
        <f>Лист2!K74/Лист2!K70*100</f>
        <v>100</v>
      </c>
      <c r="M65" s="27">
        <f>Лист2!L74/Лист2!L70*100</f>
        <v>100</v>
      </c>
      <c r="N65" s="27">
        <f>Лист2!M74/Лист2!M70*100</f>
        <v>100</v>
      </c>
      <c r="O65" s="27">
        <f>Лист2!N74/Лист2!N70*100</f>
        <v>100</v>
      </c>
      <c r="P65" s="27">
        <f>Лист2!O74/Лист2!O70*100</f>
        <v>100</v>
      </c>
      <c r="Q65" s="27">
        <f>Лист2!P74/Лист2!P70*100</f>
        <v>100</v>
      </c>
      <c r="R65" s="27">
        <f>Лист2!Q74/Лист2!Q70*100</f>
        <v>100</v>
      </c>
      <c r="S65" s="59"/>
    </row>
    <row r="66" spans="1:19" ht="90" thickBot="1">
      <c r="A66" s="8" t="s">
        <v>535</v>
      </c>
      <c r="B66" s="11" t="s">
        <v>0</v>
      </c>
      <c r="C66" s="9" t="s">
        <v>375</v>
      </c>
      <c r="D66" s="9" t="s">
        <v>1</v>
      </c>
      <c r="E66" s="25" t="s">
        <v>244</v>
      </c>
      <c r="F66" s="25" t="s">
        <v>244</v>
      </c>
      <c r="G66" s="25" t="s">
        <v>244</v>
      </c>
      <c r="H66" s="25" t="s">
        <v>244</v>
      </c>
      <c r="I66" s="25" t="s">
        <v>244</v>
      </c>
      <c r="J66" s="25" t="s">
        <v>244</v>
      </c>
      <c r="K66" s="25" t="s">
        <v>244</v>
      </c>
      <c r="L66" s="25" t="s">
        <v>244</v>
      </c>
      <c r="M66" s="25" t="s">
        <v>244</v>
      </c>
      <c r="N66" s="25" t="s">
        <v>244</v>
      </c>
      <c r="O66" s="25" t="s">
        <v>244</v>
      </c>
      <c r="P66" s="25" t="s">
        <v>244</v>
      </c>
      <c r="Q66" s="25" t="s">
        <v>244</v>
      </c>
      <c r="R66" s="25" t="s">
        <v>244</v>
      </c>
      <c r="S66" s="59"/>
    </row>
    <row r="67" spans="1:19" ht="90" thickBot="1">
      <c r="A67" s="8" t="s">
        <v>2</v>
      </c>
      <c r="B67" s="11" t="s">
        <v>3</v>
      </c>
      <c r="C67" s="9" t="s">
        <v>375</v>
      </c>
      <c r="D67" s="9" t="s">
        <v>171</v>
      </c>
      <c r="E67" s="27">
        <f>Лист2!D78/Лист2!D77*100</f>
        <v>15.552635773457457</v>
      </c>
      <c r="F67" s="27">
        <f>Лист2!E78/Лист2!E77*100</f>
        <v>31.170727779770314</v>
      </c>
      <c r="G67" s="27">
        <f>Лист2!F78/Лист2!F77*100</f>
        <v>57.82708200524917</v>
      </c>
      <c r="H67" s="27">
        <f>Лист2!G78/Лист2!G77*100</f>
        <v>95</v>
      </c>
      <c r="I67" s="27">
        <f>Лист2!H78/Лист2!H77*100</f>
        <v>100</v>
      </c>
      <c r="J67" s="27">
        <f>Лист2!I78/Лист2!I77*100</f>
        <v>100</v>
      </c>
      <c r="K67" s="27">
        <f>Лист2!J78/Лист2!J77*100</f>
        <v>100</v>
      </c>
      <c r="L67" s="27">
        <f>Лист2!K78/Лист2!K77*100</f>
        <v>100</v>
      </c>
      <c r="M67" s="27">
        <f>Лист2!L78/Лист2!L77*100</f>
        <v>100</v>
      </c>
      <c r="N67" s="27">
        <f>Лист2!M78/Лист2!M77*100</f>
        <v>100</v>
      </c>
      <c r="O67" s="27">
        <f>Лист2!N78/Лист2!N77*100</f>
        <v>100</v>
      </c>
      <c r="P67" s="27">
        <f>Лист2!O78/Лист2!O77*100</f>
        <v>100</v>
      </c>
      <c r="Q67" s="27">
        <f>Лист2!P78/Лист2!P77*100</f>
        <v>100</v>
      </c>
      <c r="R67" s="27">
        <f>Лист2!Q78/Лист2!Q77*100</f>
        <v>100</v>
      </c>
      <c r="S67" s="59"/>
    </row>
    <row r="68" spans="1:19" ht="108" thickBot="1">
      <c r="A68" s="8" t="s">
        <v>4</v>
      </c>
      <c r="B68" s="11" t="s">
        <v>5</v>
      </c>
      <c r="C68" s="9" t="s">
        <v>375</v>
      </c>
      <c r="D68" s="9" t="s">
        <v>6</v>
      </c>
      <c r="E68" s="25">
        <f>Лист2!D80/Лист2!D79*100</f>
        <v>41</v>
      </c>
      <c r="F68" s="25">
        <f>Лист2!E80/Лист2!E79*100</f>
        <v>41</v>
      </c>
      <c r="G68" s="25">
        <f>Лист2!F80/Лист2!F79*100</f>
        <v>41</v>
      </c>
      <c r="H68" s="25">
        <f>Лист2!G80/Лист2!G79*100</f>
        <v>41</v>
      </c>
      <c r="I68" s="25">
        <f>Лист2!H80/Лист2!H79*100</f>
        <v>100</v>
      </c>
      <c r="J68" s="25">
        <f>Лист2!I80/Лист2!I79*100</f>
        <v>100</v>
      </c>
      <c r="K68" s="25">
        <f>Лист2!J80/Лист2!J79*100</f>
        <v>100</v>
      </c>
      <c r="L68" s="25">
        <f>Лист2!K80/Лист2!K79*100</f>
        <v>100</v>
      </c>
      <c r="M68" s="25">
        <f>Лист2!L80/Лист2!L79*100</f>
        <v>100</v>
      </c>
      <c r="N68" s="25">
        <f>Лист2!M80/Лист2!M79*100</f>
        <v>100</v>
      </c>
      <c r="O68" s="25">
        <f>Лист2!N80/Лист2!N79*100</f>
        <v>100</v>
      </c>
      <c r="P68" s="25">
        <f>Лист2!O80/Лист2!O79*100</f>
        <v>100</v>
      </c>
      <c r="Q68" s="25">
        <f>Лист2!P80/Лист2!P79*100</f>
        <v>100</v>
      </c>
      <c r="R68" s="25">
        <f>Лист2!Q80/Лист2!Q79*100</f>
        <v>100</v>
      </c>
      <c r="S68" s="59"/>
    </row>
    <row r="69" spans="1:19" ht="108" thickBot="1">
      <c r="A69" s="8" t="s">
        <v>7</v>
      </c>
      <c r="B69" s="11" t="s">
        <v>8</v>
      </c>
      <c r="C69" s="9" t="s">
        <v>375</v>
      </c>
      <c r="D69" s="9" t="s">
        <v>9</v>
      </c>
      <c r="E69" s="25">
        <f>Лист2!D82/Лист2!D81*100</f>
        <v>41</v>
      </c>
      <c r="F69" s="25">
        <f>Лист2!E82/Лист2!E81*100</f>
        <v>41</v>
      </c>
      <c r="G69" s="25">
        <f>Лист2!F82/Лист2!F81*100</f>
        <v>41</v>
      </c>
      <c r="H69" s="25">
        <f>Лист2!G82/Лист2!G81*100</f>
        <v>41</v>
      </c>
      <c r="I69" s="25">
        <f>Лист2!H82/Лист2!H81*100</f>
        <v>100</v>
      </c>
      <c r="J69" s="25">
        <f>Лист2!I82/Лист2!I81*100</f>
        <v>100</v>
      </c>
      <c r="K69" s="25">
        <f>Лист2!J82/Лист2!J81*100</f>
        <v>100</v>
      </c>
      <c r="L69" s="25">
        <f>Лист2!K82/Лист2!K81*100</f>
        <v>100</v>
      </c>
      <c r="M69" s="25">
        <f>Лист2!L82/Лист2!L81*100</f>
        <v>100</v>
      </c>
      <c r="N69" s="25">
        <f>Лист2!M82/Лист2!M81*100</f>
        <v>100</v>
      </c>
      <c r="O69" s="25">
        <f>Лист2!N82/Лист2!N81*100</f>
        <v>100</v>
      </c>
      <c r="P69" s="25">
        <f>Лист2!O82/Лист2!O81*100</f>
        <v>100</v>
      </c>
      <c r="Q69" s="25">
        <f>Лист2!P82/Лист2!P81*100</f>
        <v>100</v>
      </c>
      <c r="R69" s="25">
        <f>Лист2!Q82/Лист2!Q81*100</f>
        <v>100</v>
      </c>
      <c r="S69" s="59"/>
    </row>
    <row r="70" spans="1:19" ht="108" thickBot="1">
      <c r="A70" s="8" t="s">
        <v>10</v>
      </c>
      <c r="B70" s="11" t="s">
        <v>11</v>
      </c>
      <c r="C70" s="9" t="s">
        <v>375</v>
      </c>
      <c r="D70" s="9" t="s">
        <v>12</v>
      </c>
      <c r="E70" s="25">
        <f>Лист2!D83/Лист2!D81*100</f>
        <v>43</v>
      </c>
      <c r="F70" s="25">
        <f>Лист2!E83/Лист2!E81*100</f>
        <v>42.99999999999999</v>
      </c>
      <c r="G70" s="25">
        <f>Лист2!F83/Лист2!F81*100</f>
        <v>43</v>
      </c>
      <c r="H70" s="25">
        <f>Лист2!G83/Лист2!G81*100</f>
        <v>42.99999999999999</v>
      </c>
      <c r="I70" s="25">
        <f>Лист2!H83/Лист2!H81*100</f>
        <v>100</v>
      </c>
      <c r="J70" s="25">
        <f>Лист2!I83/Лист2!I81*100</f>
        <v>100</v>
      </c>
      <c r="K70" s="25">
        <f>Лист2!J83/Лист2!J81*100</f>
        <v>100</v>
      </c>
      <c r="L70" s="25">
        <f>Лист2!K83/Лист2!K81*100</f>
        <v>100</v>
      </c>
      <c r="M70" s="25">
        <f>Лист2!L83/Лист2!L81*100</f>
        <v>100</v>
      </c>
      <c r="N70" s="25">
        <f>Лист2!M83/Лист2!M81*100</f>
        <v>100</v>
      </c>
      <c r="O70" s="25">
        <f>Лист2!N83/Лист2!N81*100</f>
        <v>100</v>
      </c>
      <c r="P70" s="25">
        <f>Лист2!O83/Лист2!O81*100</f>
        <v>100</v>
      </c>
      <c r="Q70" s="25">
        <f>Лист2!P83/Лист2!P81*100</f>
        <v>100</v>
      </c>
      <c r="R70" s="25">
        <f>Лист2!Q83/Лист2!Q81*100</f>
        <v>100</v>
      </c>
      <c r="S70" s="59"/>
    </row>
    <row r="71" spans="1:19" ht="126" thickBot="1">
      <c r="A71" s="8" t="s">
        <v>13</v>
      </c>
      <c r="B71" s="11" t="s">
        <v>14</v>
      </c>
      <c r="C71" s="9" t="s">
        <v>375</v>
      </c>
      <c r="D71" s="9" t="s">
        <v>15</v>
      </c>
      <c r="E71" s="60">
        <f>Лист2!D86/Лист2!D84*100</f>
        <v>20.780756170714422</v>
      </c>
      <c r="F71" s="60">
        <f>Лист2!E86/Лист2!E84*100</f>
        <v>21.606235151807585</v>
      </c>
      <c r="G71" s="60">
        <f>Лист2!F86/Лист2!F84*100</f>
        <v>29.74563455606805</v>
      </c>
      <c r="H71" s="60">
        <f>Лист2!G86/Лист2!G84*100</f>
        <v>44.61845183410208</v>
      </c>
      <c r="I71" s="60">
        <f>Лист2!H86/Лист2!H84*100</f>
        <v>61.3312052702434</v>
      </c>
      <c r="J71" s="60">
        <f>Лист2!I86/Лист2!I84*100</f>
        <v>100</v>
      </c>
      <c r="K71" s="60">
        <f>Лист2!J86/Лист2!J84*100</f>
        <v>100</v>
      </c>
      <c r="L71" s="60">
        <f>Лист2!K86/Лист2!K84*100</f>
        <v>100</v>
      </c>
      <c r="M71" s="60">
        <f>Лист2!L86/Лист2!L84*100</f>
        <v>100</v>
      </c>
      <c r="N71" s="60">
        <f>Лист2!M86/Лист2!M84*100</f>
        <v>100</v>
      </c>
      <c r="O71" s="60">
        <f>Лист2!N86/Лист2!N84*100</f>
        <v>100</v>
      </c>
      <c r="P71" s="60">
        <f>Лист2!O86/Лист2!O84*100</f>
        <v>100</v>
      </c>
      <c r="Q71" s="60">
        <f>Лист2!P86/Лист2!P84*100</f>
        <v>100</v>
      </c>
      <c r="R71" s="60">
        <f>Лист2!Q86/Лист2!Q84*100</f>
        <v>100</v>
      </c>
      <c r="S71" s="76"/>
    </row>
    <row r="72" spans="1:19" ht="126" thickBot="1">
      <c r="A72" s="8" t="s">
        <v>16</v>
      </c>
      <c r="B72" s="11" t="s">
        <v>17</v>
      </c>
      <c r="C72" s="9" t="s">
        <v>375</v>
      </c>
      <c r="D72" s="9" t="s">
        <v>18</v>
      </c>
      <c r="E72" s="60">
        <f>Лист2!D90/Лист2!D88*100</f>
        <v>20</v>
      </c>
      <c r="F72" s="60">
        <f>Лист2!E90/Лист2!E88*100</f>
        <v>20</v>
      </c>
      <c r="G72" s="60">
        <f>Лист2!F90/Лист2!F88*100</f>
        <v>20</v>
      </c>
      <c r="H72" s="60">
        <f>Лист2!G90/Лист2!G88*100</f>
        <v>50</v>
      </c>
      <c r="I72" s="60">
        <f>Лист2!H90/Лист2!H88*100</f>
        <v>70</v>
      </c>
      <c r="J72" s="60">
        <f>Лист2!I90/Лист2!I88*100</f>
        <v>100</v>
      </c>
      <c r="K72" s="60">
        <f>Лист2!J90/Лист2!J88*100</f>
        <v>100</v>
      </c>
      <c r="L72" s="60">
        <f>Лист2!K90/Лист2!K88*100</f>
        <v>100</v>
      </c>
      <c r="M72" s="60">
        <f>Лист2!L90/Лист2!L88*100</f>
        <v>100</v>
      </c>
      <c r="N72" s="60">
        <f>Лист2!M90/Лист2!M88*100</f>
        <v>100</v>
      </c>
      <c r="O72" s="60">
        <f>Лист2!N90/Лист2!N88*100</f>
        <v>100</v>
      </c>
      <c r="P72" s="60">
        <f>Лист2!O90/Лист2!O88*100</f>
        <v>100</v>
      </c>
      <c r="Q72" s="60">
        <f>Лист2!P90/Лист2!P88*100</f>
        <v>100</v>
      </c>
      <c r="R72" s="60">
        <f>Лист2!Q90/Лист2!Q88*100</f>
        <v>100</v>
      </c>
      <c r="S72" s="77"/>
    </row>
    <row r="73" spans="1:19" ht="36" thickBot="1">
      <c r="A73" s="8" t="s">
        <v>19</v>
      </c>
      <c r="B73" s="11" t="s">
        <v>20</v>
      </c>
      <c r="C73" s="9" t="s">
        <v>229</v>
      </c>
      <c r="D73" s="9" t="s">
        <v>329</v>
      </c>
      <c r="E73" s="25">
        <f>Лист2!D93</f>
        <v>0</v>
      </c>
      <c r="F73" s="25">
        <f>Лист2!E93</f>
        <v>0</v>
      </c>
      <c r="G73" s="25">
        <f>Лист2!F93</f>
        <v>0</v>
      </c>
      <c r="H73" s="25">
        <f>Лист2!G93</f>
        <v>0</v>
      </c>
      <c r="I73" s="25">
        <f>Лист2!H93</f>
        <v>1500</v>
      </c>
      <c r="J73" s="25">
        <f>Лист2!I93</f>
        <v>3000</v>
      </c>
      <c r="K73" s="25">
        <f>Лист2!J93</f>
        <v>3000</v>
      </c>
      <c r="L73" s="25">
        <f>Лист2!K93</f>
        <v>3000</v>
      </c>
      <c r="M73" s="25">
        <f>Лист2!L93</f>
        <v>3000</v>
      </c>
      <c r="N73" s="25">
        <f>Лист2!M93</f>
        <v>4500</v>
      </c>
      <c r="O73" s="25">
        <f>Лист2!N93</f>
        <v>5500</v>
      </c>
      <c r="P73" s="25">
        <f>Лист2!O93</f>
        <v>6500</v>
      </c>
      <c r="Q73" s="25">
        <f>Лист2!P93</f>
        <v>7108</v>
      </c>
      <c r="R73" s="25">
        <f>Лист2!Q93</f>
        <v>7108</v>
      </c>
      <c r="S73" s="59"/>
    </row>
    <row r="74" spans="1:19" ht="36" thickBot="1">
      <c r="A74" s="8" t="s">
        <v>21</v>
      </c>
      <c r="B74" s="11" t="s">
        <v>22</v>
      </c>
      <c r="C74" s="9" t="s">
        <v>375</v>
      </c>
      <c r="D74" s="9" t="s">
        <v>23</v>
      </c>
      <c r="E74" s="60">
        <f>Лист2!D93/Лист2!D92*100</f>
        <v>0</v>
      </c>
      <c r="F74" s="60">
        <f>Лист2!E93/Лист2!E92*100</f>
        <v>0</v>
      </c>
      <c r="G74" s="60">
        <f>Лист2!F93/Лист2!F92*100</f>
        <v>0</v>
      </c>
      <c r="H74" s="60">
        <f>Лист2!G93/Лист2!G92*100</f>
        <v>0</v>
      </c>
      <c r="I74" s="60">
        <f>Лист2!H93/Лист2!H92*100</f>
        <v>21.102982554867754</v>
      </c>
      <c r="J74" s="60">
        <f>Лист2!I93/Лист2!I92*100</f>
        <v>42.20596510973551</v>
      </c>
      <c r="K74" s="60">
        <f>Лист2!J93/Лист2!J92*100</f>
        <v>42.20596510973551</v>
      </c>
      <c r="L74" s="60">
        <f>Лист2!K93/Лист2!K92*100</f>
        <v>42.20596510973551</v>
      </c>
      <c r="M74" s="60">
        <f>Лист2!L93/Лист2!L92*100</f>
        <v>42.20596510973551</v>
      </c>
      <c r="N74" s="60">
        <f>Лист2!M93/Лист2!M92*100</f>
        <v>63.30894766460327</v>
      </c>
      <c r="O74" s="60">
        <f>Лист2!N93/Лист2!N92*100</f>
        <v>77.37760270118177</v>
      </c>
      <c r="P74" s="60">
        <f>Лист2!O93/Лист2!O92*100</f>
        <v>91.44625773776028</v>
      </c>
      <c r="Q74" s="60">
        <f>Лист2!P93/Лист2!P92*100</f>
        <v>100</v>
      </c>
      <c r="R74" s="60">
        <f>Лист2!Q93/Лист2!Q92*100</f>
        <v>100</v>
      </c>
      <c r="S74" s="59"/>
    </row>
    <row r="75" spans="1:19" ht="90" thickBot="1">
      <c r="A75" s="8" t="s">
        <v>24</v>
      </c>
      <c r="B75" s="82" t="s">
        <v>25</v>
      </c>
      <c r="C75" s="9" t="s">
        <v>434</v>
      </c>
      <c r="D75" s="9" t="s">
        <v>26</v>
      </c>
      <c r="E75" s="62">
        <f>(Лист2!D78)/Лист2!D95</f>
        <v>0.06371831980232968</v>
      </c>
      <c r="F75" s="62">
        <f>(Лист2!E78)/Лист2!E95</f>
        <v>0.08296142756954726</v>
      </c>
      <c r="G75" s="62">
        <f>(Лист2!F78)/Лист2!F95</f>
        <v>0.1257059942721455</v>
      </c>
      <c r="H75" s="62">
        <f>(Лист2!G78)/Лист2!G95</f>
        <v>0.19999196002986275</v>
      </c>
      <c r="I75" s="62">
        <f>(Лист2!H78)/Лист2!H95</f>
        <v>0.19795122574384375</v>
      </c>
      <c r="J75" s="62">
        <f>(Лист2!I78)/Лист2!I95</f>
        <v>0.18817243519209786</v>
      </c>
      <c r="K75" s="62">
        <f>(Лист2!J78)/Лист2!J95</f>
        <v>0.18252726213633494</v>
      </c>
      <c r="L75" s="62">
        <f>(Лист2!K78)/Лист2!K95</f>
        <v>0.1770514442722449</v>
      </c>
      <c r="M75" s="62">
        <f>(Лист2!L78)/Лист2!L95</f>
        <v>0.17173990094407754</v>
      </c>
      <c r="N75" s="62">
        <f>(Лист2!M78)/Лист2!M95</f>
        <v>0.1665877039157552</v>
      </c>
      <c r="O75" s="62">
        <f>(Лист2!N78)/Лист2!N95</f>
        <v>0.16159007279828255</v>
      </c>
      <c r="P75" s="62">
        <f>(Лист2!O78)/Лист2!O95</f>
        <v>0.15674237061433408</v>
      </c>
      <c r="Q75" s="62">
        <f>(Лист2!P78)/Лист2!P95</f>
        <v>0.15204009949590405</v>
      </c>
      <c r="R75" s="62">
        <f>(Лист2!Q78)/Лист2!Q95</f>
        <v>0.1474788965110269</v>
      </c>
      <c r="S75" s="59"/>
    </row>
    <row r="76" spans="1:19" ht="72" thickBot="1">
      <c r="A76" s="8" t="s">
        <v>27</v>
      </c>
      <c r="B76" s="82" t="s">
        <v>28</v>
      </c>
      <c r="C76" s="9" t="s">
        <v>434</v>
      </c>
      <c r="D76" s="9" t="s">
        <v>29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59"/>
    </row>
    <row r="77" spans="1:19" ht="90" thickBot="1">
      <c r="A77" s="8" t="s">
        <v>30</v>
      </c>
      <c r="B77" s="11" t="s">
        <v>31</v>
      </c>
      <c r="C77" s="9"/>
      <c r="D77" s="6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 t="s">
        <v>497</v>
      </c>
    </row>
    <row r="78" spans="1:19" ht="36" thickBot="1">
      <c r="A78" s="8" t="s">
        <v>32</v>
      </c>
      <c r="B78" s="11" t="s">
        <v>495</v>
      </c>
      <c r="C78" s="9" t="s">
        <v>434</v>
      </c>
      <c r="D78" s="9" t="s">
        <v>33</v>
      </c>
      <c r="E78" s="62">
        <f>F75-E75</f>
        <v>0.019243107767217577</v>
      </c>
      <c r="F78" s="62">
        <f aca="true" t="shared" si="11" ref="F78:Q78">G75-F75</f>
        <v>0.04274456670259823</v>
      </c>
      <c r="G78" s="62">
        <f t="shared" si="11"/>
        <v>0.07428596575771726</v>
      </c>
      <c r="H78" s="62">
        <f t="shared" si="11"/>
        <v>-0.0020407342860190025</v>
      </c>
      <c r="I78" s="62">
        <f t="shared" si="11"/>
        <v>-0.00977879055174588</v>
      </c>
      <c r="J78" s="62">
        <f t="shared" si="11"/>
        <v>-0.005645173055762925</v>
      </c>
      <c r="K78" s="62">
        <f t="shared" si="11"/>
        <v>-0.0054758178640900435</v>
      </c>
      <c r="L78" s="62">
        <f t="shared" si="11"/>
        <v>-0.005311543328167356</v>
      </c>
      <c r="M78" s="62">
        <f t="shared" si="11"/>
        <v>-0.005152197028322342</v>
      </c>
      <c r="N78" s="62">
        <f t="shared" si="11"/>
        <v>-0.004997631117472645</v>
      </c>
      <c r="O78" s="62">
        <f t="shared" si="11"/>
        <v>-0.004847702183948477</v>
      </c>
      <c r="P78" s="62">
        <f t="shared" si="11"/>
        <v>-0.004702271118430024</v>
      </c>
      <c r="Q78" s="62">
        <f t="shared" si="11"/>
        <v>-0.0045612029848771385</v>
      </c>
      <c r="R78" s="25"/>
      <c r="S78" s="59" t="s">
        <v>497</v>
      </c>
    </row>
    <row r="79" spans="1:19" ht="36" thickBot="1">
      <c r="A79" s="5" t="s">
        <v>34</v>
      </c>
      <c r="B79" s="83" t="s">
        <v>498</v>
      </c>
      <c r="C79" s="6" t="s">
        <v>434</v>
      </c>
      <c r="D79" s="6" t="s">
        <v>35</v>
      </c>
      <c r="E79" s="63">
        <f>F75-E75</f>
        <v>0.019243107767217577</v>
      </c>
      <c r="F79" s="63">
        <f>G75-E75</f>
        <v>0.061987674469815804</v>
      </c>
      <c r="G79" s="63">
        <f>H75-E75</f>
        <v>0.13627364022753308</v>
      </c>
      <c r="H79" s="63">
        <f>I75-E75</f>
        <v>0.13423290594151405</v>
      </c>
      <c r="I79" s="63">
        <f>J75-E75</f>
        <v>0.12445411538976818</v>
      </c>
      <c r="J79" s="63">
        <f>K75-E75</f>
        <v>0.11880894233400525</v>
      </c>
      <c r="K79" s="63">
        <f>L75-E75</f>
        <v>0.11333312446991521</v>
      </c>
      <c r="L79" s="63">
        <f>M75-E75</f>
        <v>0.10802158114174785</v>
      </c>
      <c r="M79" s="63">
        <f>N75-E75</f>
        <v>0.10286938411342551</v>
      </c>
      <c r="N79" s="63">
        <f>O75-E75</f>
        <v>0.09787175299595287</v>
      </c>
      <c r="O79" s="63">
        <f>P75-E75</f>
        <v>0.09302405081200439</v>
      </c>
      <c r="P79" s="63">
        <f>Q75-E75</f>
        <v>0.08832177969357437</v>
      </c>
      <c r="Q79" s="63">
        <f>R75-E75</f>
        <v>0.08376057670869723</v>
      </c>
      <c r="R79" s="59"/>
      <c r="S79" s="59" t="s">
        <v>36</v>
      </c>
    </row>
    <row r="80" spans="1:19" ht="72" thickBot="1">
      <c r="A80" s="8" t="s">
        <v>37</v>
      </c>
      <c r="B80" s="11" t="s">
        <v>38</v>
      </c>
      <c r="C80" s="9"/>
      <c r="D80" s="6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 t="s">
        <v>497</v>
      </c>
    </row>
    <row r="81" spans="1:19" ht="36" thickBot="1">
      <c r="A81" s="8" t="s">
        <v>39</v>
      </c>
      <c r="B81" s="11" t="s">
        <v>495</v>
      </c>
      <c r="C81" s="9" t="s">
        <v>434</v>
      </c>
      <c r="D81" s="9" t="s">
        <v>40</v>
      </c>
      <c r="E81" s="25">
        <f>F76-E76</f>
        <v>0</v>
      </c>
      <c r="F81" s="25">
        <f aca="true" t="shared" si="12" ref="F81:R81">G76-F76</f>
        <v>0</v>
      </c>
      <c r="G81" s="25">
        <f t="shared" si="12"/>
        <v>0</v>
      </c>
      <c r="H81" s="25">
        <f t="shared" si="12"/>
        <v>0</v>
      </c>
      <c r="I81" s="25">
        <f t="shared" si="12"/>
        <v>0</v>
      </c>
      <c r="J81" s="25">
        <f t="shared" si="12"/>
        <v>0</v>
      </c>
      <c r="K81" s="25">
        <f t="shared" si="12"/>
        <v>0</v>
      </c>
      <c r="L81" s="25">
        <f t="shared" si="12"/>
        <v>0</v>
      </c>
      <c r="M81" s="25">
        <f t="shared" si="12"/>
        <v>0</v>
      </c>
      <c r="N81" s="25">
        <f t="shared" si="12"/>
        <v>0</v>
      </c>
      <c r="O81" s="25">
        <f t="shared" si="12"/>
        <v>0</v>
      </c>
      <c r="P81" s="25">
        <f t="shared" si="12"/>
        <v>0</v>
      </c>
      <c r="Q81" s="25">
        <f t="shared" si="12"/>
        <v>0</v>
      </c>
      <c r="R81" s="25">
        <f t="shared" si="12"/>
        <v>0</v>
      </c>
      <c r="S81" s="59" t="s">
        <v>497</v>
      </c>
    </row>
    <row r="82" spans="1:19" ht="36" thickBot="1">
      <c r="A82" s="8" t="s">
        <v>41</v>
      </c>
      <c r="B82" s="11" t="s">
        <v>498</v>
      </c>
      <c r="C82" s="9" t="s">
        <v>434</v>
      </c>
      <c r="D82" s="9" t="s">
        <v>42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59" t="s">
        <v>43</v>
      </c>
    </row>
    <row r="83" spans="1:19" ht="108" thickBot="1">
      <c r="A83" s="84" t="s">
        <v>44</v>
      </c>
      <c r="B83" s="85" t="s">
        <v>45</v>
      </c>
      <c r="C83" s="85"/>
      <c r="D83" s="85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:19" ht="18" thickBot="1">
      <c r="A84" s="84" t="s">
        <v>46</v>
      </c>
      <c r="B84" s="85" t="s">
        <v>495</v>
      </c>
      <c r="C84" s="85" t="s">
        <v>244</v>
      </c>
      <c r="D84" s="85" t="s">
        <v>47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/>
    </row>
    <row r="85" spans="1:19" ht="18" thickBot="1">
      <c r="A85" s="84" t="s">
        <v>48</v>
      </c>
      <c r="B85" s="85" t="s">
        <v>498</v>
      </c>
      <c r="C85" s="85" t="s">
        <v>244</v>
      </c>
      <c r="D85" s="85" t="s">
        <v>49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59"/>
    </row>
    <row r="86" spans="1:19" ht="90" thickBot="1">
      <c r="A86" s="8" t="s">
        <v>50</v>
      </c>
      <c r="B86" s="82" t="s">
        <v>51</v>
      </c>
      <c r="C86" s="9" t="s">
        <v>52</v>
      </c>
      <c r="D86" s="9" t="s">
        <v>53</v>
      </c>
      <c r="E86" s="64">
        <f>(Лист2!D80+Лист2!D82)/Лист2!D97</f>
        <v>0.008296207563764292</v>
      </c>
      <c r="F86" s="64">
        <f>(Лист2!E80+Лист2!E82)/Лист2!E97</f>
        <v>0.006981675582127124</v>
      </c>
      <c r="G86" s="64">
        <f>(Лист2!F80+Лист2!F82)/Лист2!F97</f>
        <v>0.004853217126256131</v>
      </c>
      <c r="H86" s="64">
        <f>(Лист2!G80+Лист2!G82)/Лист2!G97</f>
        <v>0.0047076206124684475</v>
      </c>
      <c r="I86" s="64">
        <f>(Лист2!H80+Лист2!H82)/Лист2!H97</f>
        <v>0.006523417134420565</v>
      </c>
      <c r="J86" s="64">
        <f>(Лист2!I80+Лист2!I82)/Лист2!I97</f>
        <v>0.004429400234271563</v>
      </c>
      <c r="K86" s="64">
        <f>(Лист2!J80+Лист2!J82)/Лист2!J97</f>
        <v>0.004296518227243416</v>
      </c>
      <c r="L86" s="64">
        <f>(Лист2!K80+Лист2!K82)/Лист2!K97</f>
        <v>0.004167622680426114</v>
      </c>
      <c r="M86" s="64">
        <f>(Лист2!L80+Лист2!L82)/Лист2!L97</f>
        <v>0.00404259400001333</v>
      </c>
      <c r="N86" s="64">
        <f>(Лист2!M80+Лист2!M82)/Лист2!M97</f>
        <v>0.00392131618001293</v>
      </c>
      <c r="O86" s="64">
        <f>(Лист2!N80+Лист2!N82)/Лист2!N97</f>
        <v>0.003803676694612542</v>
      </c>
      <c r="P86" s="64">
        <f>(Лист2!O80+Лист2!O82)/Лист2!O97</f>
        <v>0.003689566393774166</v>
      </c>
      <c r="Q86" s="64">
        <f>(Лист2!P80+Лист2!P82)/Лист2!P97</f>
        <v>0.003578879401960941</v>
      </c>
      <c r="R86" s="64">
        <f>(Лист2!Q80+Лист2!Q82)/Лист2!Q97</f>
        <v>0.0034715130199021132</v>
      </c>
      <c r="S86" s="59"/>
    </row>
    <row r="87" spans="1:19" ht="72" thickBot="1">
      <c r="A87" s="8" t="s">
        <v>54</v>
      </c>
      <c r="B87" s="82" t="s">
        <v>55</v>
      </c>
      <c r="C87" s="9" t="s">
        <v>52</v>
      </c>
      <c r="D87" s="9" t="s">
        <v>56</v>
      </c>
      <c r="E87" s="64">
        <f>(Лист2!D79-Лист2!D80)/Лист2!D99</f>
        <v>0.0009190258632362899</v>
      </c>
      <c r="F87" s="64">
        <f>(Лист2!E79-Лист2!E80)/Лист2!E99</f>
        <v>0.0007545488597424083</v>
      </c>
      <c r="G87" s="64">
        <f>(Лист2!F79-Лист2!F80)/Лист2!F99</f>
        <v>0.0006665414279870203</v>
      </c>
      <c r="H87" s="64">
        <f>(Лист2!G79-Лист2!G80)/Лист2!G99</f>
        <v>0.0006465451851474096</v>
      </c>
      <c r="I87" s="64">
        <f>(Лист2!H79-Лист2!H80)/Лист2!H99</f>
        <v>0</v>
      </c>
      <c r="J87" s="64">
        <f>(Лист2!I79-Лист2!I80)/Лист2!I99</f>
        <v>0</v>
      </c>
      <c r="K87" s="64">
        <f>(Лист2!J79-Лист2!J80)/Лист2!J99</f>
        <v>0</v>
      </c>
      <c r="L87" s="64">
        <f>(Лист2!K79-Лист2!K80)/Лист2!K99</f>
        <v>0</v>
      </c>
      <c r="M87" s="64">
        <f>(Лист2!L79-Лист2!L80)/Лист2!L99</f>
        <v>0</v>
      </c>
      <c r="N87" s="64">
        <f>(Лист2!M79-Лист2!M80)/Лист2!M99</f>
        <v>0</v>
      </c>
      <c r="O87" s="64">
        <f>(Лист2!N79-Лист2!N80)/Лист2!N99</f>
        <v>0</v>
      </c>
      <c r="P87" s="64">
        <f>(Лист2!O79-Лист2!O80)/Лист2!O99</f>
        <v>0</v>
      </c>
      <c r="Q87" s="64">
        <f>(Лист2!P79-Лист2!P80)/Лист2!P99</f>
        <v>0</v>
      </c>
      <c r="R87" s="64">
        <f>(Лист2!Q79-Лист2!Q80)/Лист2!Q99</f>
        <v>0</v>
      </c>
      <c r="S87" s="59"/>
    </row>
    <row r="88" spans="1:19" ht="108" thickBot="1">
      <c r="A88" s="8" t="s">
        <v>57</v>
      </c>
      <c r="B88" s="11" t="s">
        <v>58</v>
      </c>
      <c r="C88" s="9"/>
      <c r="D88" s="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</row>
    <row r="89" spans="1:19" ht="36" thickBot="1">
      <c r="A89" s="8" t="s">
        <v>59</v>
      </c>
      <c r="B89" s="11" t="s">
        <v>495</v>
      </c>
      <c r="C89" s="9" t="s">
        <v>52</v>
      </c>
      <c r="D89" s="9" t="s">
        <v>60</v>
      </c>
      <c r="E89" s="64">
        <f>F86-E86</f>
        <v>-0.0013145319816371681</v>
      </c>
      <c r="F89" s="64">
        <f>G86-F86</f>
        <v>-0.0021284584558709926</v>
      </c>
      <c r="G89" s="64">
        <f>H86-G86</f>
        <v>-0.00014559651378768385</v>
      </c>
      <c r="H89" s="64">
        <f>I86-H86</f>
        <v>0.0018157965219521175</v>
      </c>
      <c r="I89" s="64">
        <f>J86-I86</f>
        <v>-0.002094016900149002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/>
      <c r="S89" s="59" t="s">
        <v>497</v>
      </c>
    </row>
    <row r="90" spans="1:19" ht="36" thickBot="1">
      <c r="A90" s="8" t="s">
        <v>61</v>
      </c>
      <c r="B90" s="11" t="s">
        <v>498</v>
      </c>
      <c r="C90" s="9" t="s">
        <v>52</v>
      </c>
      <c r="D90" s="9" t="s">
        <v>62</v>
      </c>
      <c r="E90" s="64">
        <f>F89-E89</f>
        <v>-0.0008139264742338245</v>
      </c>
      <c r="F90" s="64">
        <f>G89-E89</f>
        <v>0.0011689354678494843</v>
      </c>
      <c r="G90" s="64">
        <f>H89-E89</f>
        <v>0.0031303285035892857</v>
      </c>
      <c r="H90" s="64">
        <f>I89-E89</f>
        <v>-0.0007794849185118339</v>
      </c>
      <c r="I90" s="64">
        <f>J89-E89</f>
        <v>0.0013145319816371681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25"/>
      <c r="S90" s="59" t="s">
        <v>63</v>
      </c>
    </row>
    <row r="91" spans="1:19" ht="90" thickBot="1">
      <c r="A91" s="8" t="s">
        <v>64</v>
      </c>
      <c r="B91" s="11" t="s">
        <v>65</v>
      </c>
      <c r="C91" s="6"/>
      <c r="D91" s="6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</row>
    <row r="92" spans="1:19" ht="36" thickBot="1">
      <c r="A92" s="96" t="s">
        <v>66</v>
      </c>
      <c r="B92" s="97" t="s">
        <v>495</v>
      </c>
      <c r="C92" s="98" t="s">
        <v>52</v>
      </c>
      <c r="D92" s="98" t="s">
        <v>67</v>
      </c>
      <c r="E92" s="99">
        <f>F87-E87</f>
        <v>-0.00016447700349388162</v>
      </c>
      <c r="F92" s="99">
        <f aca="true" t="shared" si="13" ref="F92:Q92">G87-F87</f>
        <v>-8.800743175538803E-05</v>
      </c>
      <c r="G92" s="99">
        <f t="shared" si="13"/>
        <v>-1.9996242839610714E-05</v>
      </c>
      <c r="H92" s="99">
        <f t="shared" si="13"/>
        <v>-0.0006465451851474096</v>
      </c>
      <c r="I92" s="99">
        <f t="shared" si="13"/>
        <v>0</v>
      </c>
      <c r="J92" s="99">
        <f t="shared" si="13"/>
        <v>0</v>
      </c>
      <c r="K92" s="99">
        <f t="shared" si="13"/>
        <v>0</v>
      </c>
      <c r="L92" s="99">
        <f t="shared" si="13"/>
        <v>0</v>
      </c>
      <c r="M92" s="99">
        <f t="shared" si="13"/>
        <v>0</v>
      </c>
      <c r="N92" s="99">
        <f t="shared" si="13"/>
        <v>0</v>
      </c>
      <c r="O92" s="99">
        <f t="shared" si="13"/>
        <v>0</v>
      </c>
      <c r="P92" s="99">
        <f t="shared" si="13"/>
        <v>0</v>
      </c>
      <c r="Q92" s="99">
        <f t="shared" si="13"/>
        <v>0</v>
      </c>
      <c r="R92" s="100"/>
      <c r="S92" s="77" t="s">
        <v>497</v>
      </c>
    </row>
    <row r="93" spans="1:19" ht="36" thickBot="1">
      <c r="A93" s="8" t="s">
        <v>68</v>
      </c>
      <c r="B93" s="11" t="s">
        <v>498</v>
      </c>
      <c r="C93" s="9" t="s">
        <v>52</v>
      </c>
      <c r="D93" s="9" t="s">
        <v>69</v>
      </c>
      <c r="E93" s="64">
        <f>F87-E87</f>
        <v>-0.00016447700349388162</v>
      </c>
      <c r="F93" s="64">
        <f>G87-E87</f>
        <v>-0.00025248443524926965</v>
      </c>
      <c r="G93" s="64">
        <f>H87-E87</f>
        <v>-0.00027248067808888037</v>
      </c>
      <c r="H93" s="64">
        <f>I87-E87</f>
        <v>-0.0009190258632362899</v>
      </c>
      <c r="I93" s="64">
        <f>J87-E87</f>
        <v>-0.0009190258632362899</v>
      </c>
      <c r="J93" s="64">
        <f>K87-E87</f>
        <v>-0.0009190258632362899</v>
      </c>
      <c r="K93" s="64">
        <f>L87-E87</f>
        <v>-0.0009190258632362899</v>
      </c>
      <c r="L93" s="64">
        <f>M87-E87</f>
        <v>-0.0009190258632362899</v>
      </c>
      <c r="M93" s="64">
        <f>N87-E87</f>
        <v>-0.0009190258632362899</v>
      </c>
      <c r="N93" s="64">
        <f>O87-E87</f>
        <v>-0.0009190258632362899</v>
      </c>
      <c r="O93" s="64">
        <f>P87-E87</f>
        <v>-0.0009190258632362899</v>
      </c>
      <c r="P93" s="64">
        <f>Q87-E87</f>
        <v>-0.0009190258632362899</v>
      </c>
      <c r="Q93" s="64">
        <f>R87-E87</f>
        <v>-0.0009190258632362899</v>
      </c>
      <c r="R93" s="59"/>
      <c r="S93" s="59" t="s">
        <v>70</v>
      </c>
    </row>
    <row r="94" spans="1:19" ht="126" thickBot="1">
      <c r="A94" s="8" t="s">
        <v>71</v>
      </c>
      <c r="B94" s="11" t="s">
        <v>72</v>
      </c>
      <c r="C94" s="6"/>
      <c r="D94" s="6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</row>
    <row r="95" spans="1:19" ht="18" thickBot="1">
      <c r="A95" s="5" t="s">
        <v>73</v>
      </c>
      <c r="B95" s="83" t="s">
        <v>495</v>
      </c>
      <c r="C95" s="6" t="s">
        <v>244</v>
      </c>
      <c r="D95" s="6" t="s">
        <v>74</v>
      </c>
      <c r="E95" s="65">
        <f>E87/E86</f>
        <v>0.11077662367686644</v>
      </c>
      <c r="F95" s="65">
        <f aca="true" t="shared" si="14" ref="F95:R95">F87/F86</f>
        <v>0.10807561177348748</v>
      </c>
      <c r="G95" s="65">
        <f t="shared" si="14"/>
        <v>0.13734012112934327</v>
      </c>
      <c r="H95" s="65">
        <f t="shared" si="14"/>
        <v>0.13734012112934324</v>
      </c>
      <c r="I95" s="65">
        <f t="shared" si="14"/>
        <v>0</v>
      </c>
      <c r="J95" s="65">
        <f t="shared" si="14"/>
        <v>0</v>
      </c>
      <c r="K95" s="65">
        <f t="shared" si="14"/>
        <v>0</v>
      </c>
      <c r="L95" s="65">
        <f t="shared" si="14"/>
        <v>0</v>
      </c>
      <c r="M95" s="65">
        <f t="shared" si="14"/>
        <v>0</v>
      </c>
      <c r="N95" s="65">
        <f t="shared" si="14"/>
        <v>0</v>
      </c>
      <c r="O95" s="65">
        <f t="shared" si="14"/>
        <v>0</v>
      </c>
      <c r="P95" s="65">
        <f t="shared" si="14"/>
        <v>0</v>
      </c>
      <c r="Q95" s="65">
        <f t="shared" si="14"/>
        <v>0</v>
      </c>
      <c r="R95" s="65">
        <f t="shared" si="14"/>
        <v>0</v>
      </c>
      <c r="S95" s="59"/>
    </row>
    <row r="96" spans="1:19" ht="18" thickBot="1">
      <c r="A96" s="5" t="s">
        <v>75</v>
      </c>
      <c r="B96" s="83" t="s">
        <v>498</v>
      </c>
      <c r="C96" s="6" t="s">
        <v>244</v>
      </c>
      <c r="D96" s="6" t="s">
        <v>76</v>
      </c>
      <c r="E96" s="65">
        <f>E87/E86</f>
        <v>0.11077662367686644</v>
      </c>
      <c r="F96" s="65">
        <f>F87/E86</f>
        <v>0.09095105853403238</v>
      </c>
      <c r="G96" s="65">
        <f>G87/E86</f>
        <v>0.08034290642610033</v>
      </c>
      <c r="H96" s="65">
        <f>H87/E86</f>
        <v>0.0779326192333173</v>
      </c>
      <c r="I96" s="65">
        <f>I87/E86</f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59"/>
    </row>
    <row r="97" spans="1:19" ht="90" thickBot="1">
      <c r="A97" s="8" t="s">
        <v>77</v>
      </c>
      <c r="B97" s="11" t="s">
        <v>78</v>
      </c>
      <c r="C97" s="9" t="s">
        <v>79</v>
      </c>
      <c r="D97" s="9" t="s">
        <v>80</v>
      </c>
      <c r="E97" s="27">
        <f>(Лист2!D67+Лист2!D75)/Лист2!D99</f>
        <v>12.615483953960732</v>
      </c>
      <c r="F97" s="27">
        <f>(Лист2!E67+Лист2!E75)/Лист2!E99</f>
        <v>11.019210209145694</v>
      </c>
      <c r="G97" s="27">
        <f>(Лист2!F67+Лист2!F75)/Лист2!F99</f>
        <v>10.486301719158636</v>
      </c>
      <c r="H97" s="27">
        <f>(Лист2!G67+Лист2!G75)/Лист2!G99</f>
        <v>10.687784862934045</v>
      </c>
      <c r="I97" s="27">
        <f>(Лист2!H67+Лист2!H75)/Лист2!H99</f>
        <v>6.3683929518997004</v>
      </c>
      <c r="J97" s="27">
        <f>(Лист2!I67+Лист2!I75)/Лист2!I99</f>
        <v>4.324138814339896</v>
      </c>
      <c r="K97" s="27">
        <f>(Лист2!J67+Лист2!J75)/Лист2!J99</f>
        <v>4.280014948887449</v>
      </c>
      <c r="L97" s="27">
        <f>(Лист2!K67+Лист2!K75)/Лист2!K99</f>
        <v>4.151614500420825</v>
      </c>
      <c r="M97" s="27">
        <f>(Лист2!L67+Лист2!L75)/Лист2!L99</f>
        <v>4.0270660654082</v>
      </c>
      <c r="N97" s="27">
        <f>(Лист2!M67+Лист2!M75)/Лист2!M99</f>
        <v>3.906254083445954</v>
      </c>
      <c r="O97" s="27">
        <f>(Лист2!N67+Лист2!N75)/Лист2!N99</f>
        <v>3.7890664609425753</v>
      </c>
      <c r="P97" s="27">
        <f>(Лист2!O67+Лист2!O75)/Лист2!O99</f>
        <v>3.6753944671142977</v>
      </c>
      <c r="Q97" s="27">
        <f>(Лист2!P67+Лист2!P75)/Лист2!P99</f>
        <v>3.5651326331008684</v>
      </c>
      <c r="R97" s="27">
        <f>(Лист2!Q67+Лист2!Q75)/Лист2!Q99</f>
        <v>3.4581786541078428</v>
      </c>
      <c r="S97" s="59"/>
    </row>
    <row r="98" spans="1:19" ht="72" thickBot="1">
      <c r="A98" s="8" t="s">
        <v>81</v>
      </c>
      <c r="B98" s="11" t="s">
        <v>84</v>
      </c>
      <c r="C98" s="9" t="s">
        <v>79</v>
      </c>
      <c r="D98" s="9" t="s">
        <v>85</v>
      </c>
      <c r="E98" s="66">
        <f>(Лист2!D65-Лист2!D67)/Лист2!D100</f>
        <v>0.32981002057008524</v>
      </c>
      <c r="F98" s="66">
        <f>(Лист2!E65-Лист2!E67)/Лист2!E100</f>
        <v>0.3246487154938567</v>
      </c>
      <c r="G98" s="66">
        <f>(Лист2!F65-Лист2!F67)/Лист2!F100</f>
        <v>0.3160126710690338</v>
      </c>
      <c r="H98" s="66">
        <f>(Лист2!G65-Лист2!G67)/Лист2!G100</f>
        <v>0.16427043080465759</v>
      </c>
      <c r="I98" s="66">
        <f>(Лист2!H65-Лист2!H67)/Лист2!H100</f>
        <v>0.3022960849028208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59"/>
    </row>
    <row r="99" spans="1:19" ht="108" thickBot="1">
      <c r="A99" s="8" t="s">
        <v>86</v>
      </c>
      <c r="B99" s="11" t="s">
        <v>87</v>
      </c>
      <c r="C99" s="9"/>
      <c r="D99" s="9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59"/>
    </row>
    <row r="100" spans="1:19" ht="36" thickBot="1">
      <c r="A100" s="8" t="s">
        <v>88</v>
      </c>
      <c r="B100" s="11" t="s">
        <v>495</v>
      </c>
      <c r="C100" s="9" t="s">
        <v>79</v>
      </c>
      <c r="D100" s="9" t="s">
        <v>89</v>
      </c>
      <c r="E100" s="61">
        <f>F97-E97</f>
        <v>-1.5962737448150381</v>
      </c>
      <c r="F100" s="61">
        <f aca="true" t="shared" si="15" ref="F100:Q100">G97-F97</f>
        <v>-0.532908489987058</v>
      </c>
      <c r="G100" s="61">
        <f t="shared" si="15"/>
        <v>0.201483143775409</v>
      </c>
      <c r="H100" s="61">
        <f t="shared" si="15"/>
        <v>-4.319391911034344</v>
      </c>
      <c r="I100" s="61">
        <f t="shared" si="15"/>
        <v>-2.044254137559804</v>
      </c>
      <c r="J100" s="61">
        <f t="shared" si="15"/>
        <v>-0.0441238654524474</v>
      </c>
      <c r="K100" s="61">
        <f t="shared" si="15"/>
        <v>-0.1284004484666239</v>
      </c>
      <c r="L100" s="61">
        <f t="shared" si="15"/>
        <v>-0.12454843501262491</v>
      </c>
      <c r="M100" s="61">
        <f t="shared" si="15"/>
        <v>-0.1208119819622464</v>
      </c>
      <c r="N100" s="61">
        <f t="shared" si="15"/>
        <v>-0.11718762250337855</v>
      </c>
      <c r="O100" s="61">
        <f t="shared" si="15"/>
        <v>-0.11367199382827753</v>
      </c>
      <c r="P100" s="61">
        <f t="shared" si="15"/>
        <v>-0.11026183401342937</v>
      </c>
      <c r="Q100" s="61">
        <f t="shared" si="15"/>
        <v>-0.10695397899302561</v>
      </c>
      <c r="R100" s="59"/>
      <c r="S100" s="59" t="s">
        <v>497</v>
      </c>
    </row>
    <row r="101" spans="1:19" ht="36" thickBot="1">
      <c r="A101" s="5" t="s">
        <v>90</v>
      </c>
      <c r="B101" s="83" t="s">
        <v>498</v>
      </c>
      <c r="C101" s="6" t="s">
        <v>79</v>
      </c>
      <c r="D101" s="6" t="s">
        <v>91</v>
      </c>
      <c r="E101" s="61">
        <f>F97-E97</f>
        <v>-1.5962737448150381</v>
      </c>
      <c r="F101" s="61">
        <f>G97-E97</f>
        <v>-2.129182234802096</v>
      </c>
      <c r="G101" s="61">
        <f>H97-E97</f>
        <v>-1.9276990910266871</v>
      </c>
      <c r="H101" s="61">
        <f>I97-E97</f>
        <v>-6.2470910020610315</v>
      </c>
      <c r="I101" s="61">
        <f>J97-E97</f>
        <v>-8.291345139620836</v>
      </c>
      <c r="J101" s="61">
        <f>K97-E97</f>
        <v>-8.335469005073282</v>
      </c>
      <c r="K101" s="61">
        <f>L97-E97</f>
        <v>-8.463869453539907</v>
      </c>
      <c r="L101" s="61">
        <f>M97-E97</f>
        <v>-8.58841788855253</v>
      </c>
      <c r="M101" s="61">
        <f>N97-E97</f>
        <v>-8.709229870514779</v>
      </c>
      <c r="N101" s="61">
        <f>O97-E97</f>
        <v>-8.826417493018157</v>
      </c>
      <c r="O101" s="61">
        <f>P97-E97</f>
        <v>-8.940089486846434</v>
      </c>
      <c r="P101" s="61">
        <f>Q97-E97</f>
        <v>-9.050351320859864</v>
      </c>
      <c r="Q101" s="61">
        <f>R97-E97</f>
        <v>-9.15730529985289</v>
      </c>
      <c r="R101" s="59"/>
      <c r="S101" s="59" t="s">
        <v>92</v>
      </c>
    </row>
    <row r="102" spans="1:19" ht="72" thickBot="1">
      <c r="A102" s="8" t="s">
        <v>93</v>
      </c>
      <c r="B102" s="11" t="s">
        <v>94</v>
      </c>
      <c r="C102" s="9"/>
      <c r="D102" s="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 t="s">
        <v>497</v>
      </c>
    </row>
    <row r="103" spans="1:19" ht="36" thickBot="1">
      <c r="A103" s="8" t="s">
        <v>95</v>
      </c>
      <c r="B103" s="11" t="s">
        <v>495</v>
      </c>
      <c r="C103" s="9" t="s">
        <v>79</v>
      </c>
      <c r="D103" s="9" t="s">
        <v>96</v>
      </c>
      <c r="E103" s="66">
        <f>F98-E98</f>
        <v>-0.005161305076228528</v>
      </c>
      <c r="F103" s="66">
        <f aca="true" t="shared" si="16" ref="F103:Q103">G98-F98</f>
        <v>-0.008636044424822908</v>
      </c>
      <c r="G103" s="66">
        <f t="shared" si="16"/>
        <v>-0.15174224026437622</v>
      </c>
      <c r="H103" s="66">
        <f t="shared" si="16"/>
        <v>0.1380256540981632</v>
      </c>
      <c r="I103" s="66">
        <f t="shared" si="16"/>
        <v>-0.3022960849028208</v>
      </c>
      <c r="J103" s="66">
        <f t="shared" si="16"/>
        <v>0</v>
      </c>
      <c r="K103" s="66">
        <f t="shared" si="16"/>
        <v>0</v>
      </c>
      <c r="L103" s="66">
        <f t="shared" si="16"/>
        <v>0</v>
      </c>
      <c r="M103" s="66">
        <f t="shared" si="16"/>
        <v>0</v>
      </c>
      <c r="N103" s="66">
        <f t="shared" si="16"/>
        <v>0</v>
      </c>
      <c r="O103" s="66">
        <f t="shared" si="16"/>
        <v>0</v>
      </c>
      <c r="P103" s="66">
        <f t="shared" si="16"/>
        <v>0</v>
      </c>
      <c r="Q103" s="66">
        <f t="shared" si="16"/>
        <v>0</v>
      </c>
      <c r="R103" s="66"/>
      <c r="S103" s="59"/>
    </row>
    <row r="104" spans="1:19" ht="36" thickBot="1">
      <c r="A104" s="5" t="s">
        <v>97</v>
      </c>
      <c r="B104" s="83" t="s">
        <v>498</v>
      </c>
      <c r="C104" s="6" t="s">
        <v>79</v>
      </c>
      <c r="D104" s="6" t="s">
        <v>98</v>
      </c>
      <c r="E104" s="61">
        <f>F98-E98</f>
        <v>-0.005161305076228528</v>
      </c>
      <c r="F104" s="61">
        <f>G98-E98</f>
        <v>-0.013797349501051437</v>
      </c>
      <c r="G104" s="61">
        <f>H98-E98</f>
        <v>-0.16553958976542765</v>
      </c>
      <c r="H104" s="61">
        <f>I98-E98</f>
        <v>-0.027513935667264455</v>
      </c>
      <c r="I104" s="61">
        <f>J98-E98</f>
        <v>-0.32981002057008524</v>
      </c>
      <c r="J104" s="61">
        <f>K98-E98</f>
        <v>-0.32981002057008524</v>
      </c>
      <c r="K104" s="61">
        <f>L98-E98</f>
        <v>-0.32981002057008524</v>
      </c>
      <c r="L104" s="61">
        <f>M98-E98</f>
        <v>-0.32981002057008524</v>
      </c>
      <c r="M104" s="61">
        <f>N98-E98</f>
        <v>-0.32981002057008524</v>
      </c>
      <c r="N104" s="61">
        <f>O98-E98</f>
        <v>-0.32981002057008524</v>
      </c>
      <c r="O104" s="61">
        <f>P98-E98</f>
        <v>-0.32981002057008524</v>
      </c>
      <c r="P104" s="61">
        <f>Q98-E98</f>
        <v>-0.32981002057008524</v>
      </c>
      <c r="Q104" s="61">
        <f>R98-E98</f>
        <v>-0.32981002057008524</v>
      </c>
      <c r="R104" s="59"/>
      <c r="S104" s="59" t="s">
        <v>99</v>
      </c>
    </row>
    <row r="105" spans="1:19" ht="126" thickBot="1">
      <c r="A105" s="8" t="s">
        <v>100</v>
      </c>
      <c r="B105" s="11" t="s">
        <v>101</v>
      </c>
      <c r="C105" s="6"/>
      <c r="D105" s="6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ht="18" thickBot="1">
      <c r="A106" s="5" t="s">
        <v>102</v>
      </c>
      <c r="B106" s="83" t="s">
        <v>495</v>
      </c>
      <c r="C106" s="6" t="s">
        <v>244</v>
      </c>
      <c r="D106" s="6" t="s">
        <v>103</v>
      </c>
      <c r="E106" s="67">
        <f>E98/E97</f>
        <v>0.02614327137775311</v>
      </c>
      <c r="F106" s="67">
        <f aca="true" t="shared" si="17" ref="F106:R106">F98/F97</f>
        <v>0.029462067546765343</v>
      </c>
      <c r="G106" s="67">
        <f t="shared" si="17"/>
        <v>0.030135759921123932</v>
      </c>
      <c r="H106" s="67">
        <f t="shared" si="17"/>
        <v>0.015369923039371654</v>
      </c>
      <c r="I106" s="67">
        <f t="shared" si="17"/>
        <v>0.047468189727935275</v>
      </c>
      <c r="J106" s="67">
        <f t="shared" si="17"/>
        <v>0</v>
      </c>
      <c r="K106" s="67">
        <f t="shared" si="17"/>
        <v>0</v>
      </c>
      <c r="L106" s="67">
        <f t="shared" si="17"/>
        <v>0</v>
      </c>
      <c r="M106" s="67">
        <f t="shared" si="17"/>
        <v>0</v>
      </c>
      <c r="N106" s="67">
        <f t="shared" si="17"/>
        <v>0</v>
      </c>
      <c r="O106" s="67">
        <f t="shared" si="17"/>
        <v>0</v>
      </c>
      <c r="P106" s="67">
        <f t="shared" si="17"/>
        <v>0</v>
      </c>
      <c r="Q106" s="67">
        <f t="shared" si="17"/>
        <v>0</v>
      </c>
      <c r="R106" s="67">
        <f t="shared" si="17"/>
        <v>0</v>
      </c>
      <c r="S106" s="59"/>
    </row>
    <row r="107" spans="1:19" ht="18" thickBot="1">
      <c r="A107" s="5" t="s">
        <v>104</v>
      </c>
      <c r="B107" s="83" t="s">
        <v>498</v>
      </c>
      <c r="C107" s="6" t="s">
        <v>244</v>
      </c>
      <c r="D107" s="6" t="s">
        <v>105</v>
      </c>
      <c r="E107" s="68">
        <f>E98/E97</f>
        <v>0.02614327137775311</v>
      </c>
      <c r="F107" s="68">
        <f>F98/E97</f>
        <v>0.025734146757955382</v>
      </c>
      <c r="G107" s="68">
        <f>G98/E97</f>
        <v>0.02504958765135753</v>
      </c>
      <c r="H107" s="68">
        <f>H98/E97</f>
        <v>0.013021334052989983</v>
      </c>
      <c r="I107" s="68">
        <f>I98/E97</f>
        <v>0.023962305846214685</v>
      </c>
      <c r="J107" s="68">
        <f>J98/E97</f>
        <v>0</v>
      </c>
      <c r="K107" s="68">
        <f>K98/E97</f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59"/>
    </row>
    <row r="108" spans="1:19" ht="108" thickBot="1">
      <c r="A108" s="8" t="s">
        <v>106</v>
      </c>
      <c r="B108" s="11" t="s">
        <v>107</v>
      </c>
      <c r="C108" s="9" t="s">
        <v>108</v>
      </c>
      <c r="D108" s="9" t="s">
        <v>109</v>
      </c>
      <c r="E108" s="64">
        <f>(Лист2!D86+Лист2!D90)/Лист2!D101</f>
        <v>0.05721725699575726</v>
      </c>
      <c r="F108" s="64">
        <f>(Лист2!E86+Лист2!E90)/Лист2!E101</f>
        <v>0.0481846148956794</v>
      </c>
      <c r="G108" s="64">
        <f>(Лист2!F86+Лист2!F90)/Лист2!F101</f>
        <v>0.04734684927028922</v>
      </c>
      <c r="H108" s="64">
        <f>(Лист2!G86+Лист2!G90)/Лист2!G101</f>
        <v>0.07387390951995043</v>
      </c>
      <c r="I108" s="64">
        <f>(Лист2!H86+Лист2!H90)/Лист2!H101</f>
        <v>0.033329465096693205</v>
      </c>
      <c r="J108" s="64">
        <f>(Лист2!I86+Лист2!I90)/Лист2!I101</f>
        <v>0.020296320058022736</v>
      </c>
      <c r="K108" s="64">
        <f>(Лист2!J86+Лист2!J90)/Лист2!J101</f>
        <v>0.013781201319397435</v>
      </c>
      <c r="L108" s="64">
        <f>(Лист2!K86+Лист2!K90)/Лист2!K101</f>
        <v>0.013367765279815513</v>
      </c>
      <c r="M108" s="64">
        <f>(Лист2!L86+Лист2!L90)/Лист2!L101</f>
        <v>0.012966732321421048</v>
      </c>
      <c r="N108" s="64">
        <f>(Лист2!M86+Лист2!M90)/Лист2!M101</f>
        <v>0.012577730351778418</v>
      </c>
      <c r="O108" s="64">
        <f>(Лист2!N86+Лист2!N90)/Лист2!N101</f>
        <v>0.012200398441225065</v>
      </c>
      <c r="P108" s="64">
        <f>(Лист2!O86+Лист2!O90)/Лист2!O101</f>
        <v>0.011834386487988314</v>
      </c>
      <c r="Q108" s="64">
        <f>(Лист2!P86+Лист2!P90)/Лист2!P101</f>
        <v>0.011479354893348663</v>
      </c>
      <c r="R108" s="64">
        <f>(Лист2!Q86+Лист2!Q90)/Лист2!Q101</f>
        <v>0.011134974246548204</v>
      </c>
      <c r="S108" s="59"/>
    </row>
    <row r="109" spans="1:19" ht="72" thickBot="1">
      <c r="A109" s="96" t="s">
        <v>110</v>
      </c>
      <c r="B109" s="97" t="s">
        <v>111</v>
      </c>
      <c r="C109" s="98" t="s">
        <v>108</v>
      </c>
      <c r="D109" s="98" t="s">
        <v>112</v>
      </c>
      <c r="E109" s="99">
        <f>(Лист2!D84+Лист2!D86)/Лист2!D102</f>
        <v>0.003605437095670526</v>
      </c>
      <c r="F109" s="99">
        <f>(Лист2!E84+Лист2!E86)/Лист2!E102</f>
        <v>0.00367728253281171</v>
      </c>
      <c r="G109" s="99">
        <f>(Лист2!F84+Лист2!F86)/Лист2!F102</f>
        <v>0.004208881226057564</v>
      </c>
      <c r="H109" s="99">
        <f>(Лист2!G84+Лист2!G86)/Лист2!G102</f>
        <v>0.004847560491658421</v>
      </c>
      <c r="I109" s="99">
        <f>(Лист2!H84+Лист2!H86)/Лист2!H102</f>
        <v>0.00674221845904828</v>
      </c>
      <c r="J109" s="99">
        <f>(Лист2!I84+Лист2!I86)/Лист2!I102</f>
        <v>0.018883219597345204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77"/>
    </row>
    <row r="110" spans="1:19" ht="108" thickBot="1">
      <c r="A110" s="8" t="s">
        <v>113</v>
      </c>
      <c r="B110" s="11" t="s">
        <v>114</v>
      </c>
      <c r="C110" s="9"/>
      <c r="D110" s="6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ht="36" thickBot="1">
      <c r="A111" s="8" t="s">
        <v>115</v>
      </c>
      <c r="B111" s="11" t="s">
        <v>495</v>
      </c>
      <c r="C111" s="9" t="s">
        <v>108</v>
      </c>
      <c r="D111" s="9" t="s">
        <v>116</v>
      </c>
      <c r="E111" s="64">
        <f>F108-E108</f>
        <v>-0.009032642100077863</v>
      </c>
      <c r="F111" s="64">
        <f aca="true" t="shared" si="18" ref="F111:Q111">G108-F108</f>
        <v>-0.0008377656253901813</v>
      </c>
      <c r="G111" s="64">
        <f t="shared" si="18"/>
        <v>0.026527060249661213</v>
      </c>
      <c r="H111" s="64">
        <f t="shared" si="18"/>
        <v>-0.04054444442325723</v>
      </c>
      <c r="I111" s="64">
        <f t="shared" si="18"/>
        <v>-0.013033145038670469</v>
      </c>
      <c r="J111" s="64">
        <f t="shared" si="18"/>
        <v>-0.0065151187386253</v>
      </c>
      <c r="K111" s="64">
        <f t="shared" si="18"/>
        <v>-0.0004134360395819225</v>
      </c>
      <c r="L111" s="64">
        <f t="shared" si="18"/>
        <v>-0.0004010329583944653</v>
      </c>
      <c r="M111" s="64">
        <f t="shared" si="18"/>
        <v>-0.00038900196964263</v>
      </c>
      <c r="N111" s="64">
        <f t="shared" si="18"/>
        <v>-0.00037733191055335305</v>
      </c>
      <c r="O111" s="64">
        <f t="shared" si="18"/>
        <v>-0.0003660119532367511</v>
      </c>
      <c r="P111" s="64">
        <f t="shared" si="18"/>
        <v>-0.00035503159463965046</v>
      </c>
      <c r="Q111" s="64">
        <f t="shared" si="18"/>
        <v>-0.0003443806468004587</v>
      </c>
      <c r="R111" s="25"/>
      <c r="S111" s="59" t="s">
        <v>497</v>
      </c>
    </row>
    <row r="112" spans="1:19" ht="36" thickBot="1">
      <c r="A112" s="8" t="s">
        <v>117</v>
      </c>
      <c r="B112" s="11" t="s">
        <v>498</v>
      </c>
      <c r="C112" s="9" t="s">
        <v>108</v>
      </c>
      <c r="D112" s="9" t="s">
        <v>118</v>
      </c>
      <c r="E112" s="64">
        <f>F108-E108</f>
        <v>-0.009032642100077863</v>
      </c>
      <c r="F112" s="64">
        <f>G108-E108</f>
        <v>-0.009870407725468044</v>
      </c>
      <c r="G112" s="64">
        <f>H108-E108</f>
        <v>0.01665665252419317</v>
      </c>
      <c r="H112" s="64">
        <f>I108-E108</f>
        <v>-0.023887791899064058</v>
      </c>
      <c r="I112" s="64">
        <f>J108-E108</f>
        <v>-0.03692093693773453</v>
      </c>
      <c r="J112" s="64">
        <f>K108-E108</f>
        <v>-0.04343605567635983</v>
      </c>
      <c r="K112" s="64">
        <f>L108-E108</f>
        <v>-0.04384949171594175</v>
      </c>
      <c r="L112" s="64">
        <f>M108-E108</f>
        <v>-0.04425052467433621</v>
      </c>
      <c r="M112" s="64">
        <f>N108-E108</f>
        <v>-0.04463952664397884</v>
      </c>
      <c r="N112" s="64">
        <f>O108-E108</f>
        <v>-0.0450168585545322</v>
      </c>
      <c r="O112" s="64">
        <f>P108-E108</f>
        <v>-0.04538287050776895</v>
      </c>
      <c r="P112" s="64">
        <f>Q108-E108</f>
        <v>-0.0457379021024086</v>
      </c>
      <c r="Q112" s="64">
        <f>R108-E108</f>
        <v>-0.04608228274920906</v>
      </c>
      <c r="R112" s="25"/>
      <c r="S112" s="59" t="s">
        <v>119</v>
      </c>
    </row>
    <row r="113" spans="1:19" ht="90" thickBot="1">
      <c r="A113" s="8" t="s">
        <v>120</v>
      </c>
      <c r="B113" s="11" t="s">
        <v>121</v>
      </c>
      <c r="C113" s="9"/>
      <c r="D113" s="9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59"/>
    </row>
    <row r="114" spans="1:19" ht="36" thickBot="1">
      <c r="A114" s="8" t="s">
        <v>122</v>
      </c>
      <c r="B114" s="11" t="s">
        <v>495</v>
      </c>
      <c r="C114" s="9" t="s">
        <v>108</v>
      </c>
      <c r="D114" s="9" t="s">
        <v>123</v>
      </c>
      <c r="E114" s="64">
        <f>F109-E109</f>
        <v>7.1845437141184E-05</v>
      </c>
      <c r="F114" s="64">
        <f aca="true" t="shared" si="19" ref="F114:Q114">G109-F109</f>
        <v>0.0005315986932458543</v>
      </c>
      <c r="G114" s="64">
        <f t="shared" si="19"/>
        <v>0.0006386792656008569</v>
      </c>
      <c r="H114" s="64">
        <f t="shared" si="19"/>
        <v>0.0018946579673898584</v>
      </c>
      <c r="I114" s="64">
        <f t="shared" si="19"/>
        <v>0.012141001138296924</v>
      </c>
      <c r="J114" s="64">
        <f t="shared" si="19"/>
        <v>-0.018883219597345204</v>
      </c>
      <c r="K114" s="64">
        <f t="shared" si="19"/>
        <v>0</v>
      </c>
      <c r="L114" s="64">
        <f t="shared" si="19"/>
        <v>0</v>
      </c>
      <c r="M114" s="64">
        <f t="shared" si="19"/>
        <v>0</v>
      </c>
      <c r="N114" s="64">
        <f t="shared" si="19"/>
        <v>0</v>
      </c>
      <c r="O114" s="64">
        <f t="shared" si="19"/>
        <v>0</v>
      </c>
      <c r="P114" s="64">
        <f t="shared" si="19"/>
        <v>0</v>
      </c>
      <c r="Q114" s="64">
        <f t="shared" si="19"/>
        <v>0</v>
      </c>
      <c r="R114" s="25"/>
      <c r="S114" s="59" t="s">
        <v>497</v>
      </c>
    </row>
    <row r="115" spans="1:19" ht="36" thickBot="1">
      <c r="A115" s="5" t="s">
        <v>124</v>
      </c>
      <c r="B115" s="83" t="s">
        <v>498</v>
      </c>
      <c r="C115" s="6" t="s">
        <v>108</v>
      </c>
      <c r="D115" s="6" t="s">
        <v>125</v>
      </c>
      <c r="E115" s="69">
        <f>F109-E109</f>
        <v>7.1845437141184E-05</v>
      </c>
      <c r="F115" s="69">
        <f>G109-E109</f>
        <v>0.0006034441303870383</v>
      </c>
      <c r="G115" s="69">
        <f>H109-E109</f>
        <v>0.0012421233959878952</v>
      </c>
      <c r="H115" s="69">
        <f>I109-E109</f>
        <v>0.0031367813633777536</v>
      </c>
      <c r="I115" s="69">
        <f>J109-E109</f>
        <v>0.015277782501674678</v>
      </c>
      <c r="J115" s="69">
        <f>K109-E109</f>
        <v>-0.003605437095670526</v>
      </c>
      <c r="K115" s="69">
        <f>L109-E109</f>
        <v>-0.003605437095670526</v>
      </c>
      <c r="L115" s="69">
        <f>M109-E109</f>
        <v>-0.003605437095670526</v>
      </c>
      <c r="M115" s="69">
        <f>N109-E109</f>
        <v>-0.003605437095670526</v>
      </c>
      <c r="N115" s="69">
        <f>O109-E109</f>
        <v>-0.003605437095670526</v>
      </c>
      <c r="O115" s="69">
        <f>P109-E109</f>
        <v>-0.003605437095670526</v>
      </c>
      <c r="P115" s="69">
        <f>Q109-E109</f>
        <v>-0.003605437095670526</v>
      </c>
      <c r="Q115" s="69">
        <f>R109-E109</f>
        <v>-0.003605437095670526</v>
      </c>
      <c r="R115" s="59"/>
      <c r="S115" s="59" t="s">
        <v>126</v>
      </c>
    </row>
    <row r="116" spans="1:19" ht="108" thickBot="1">
      <c r="A116" s="8" t="s">
        <v>127</v>
      </c>
      <c r="B116" s="11" t="s">
        <v>128</v>
      </c>
      <c r="C116" s="6"/>
      <c r="D116" s="6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</row>
    <row r="117" spans="1:19" ht="18" thickBot="1">
      <c r="A117" s="5" t="s">
        <v>129</v>
      </c>
      <c r="B117" s="83" t="s">
        <v>495</v>
      </c>
      <c r="C117" s="6" t="s">
        <v>244</v>
      </c>
      <c r="D117" s="6" t="s">
        <v>130</v>
      </c>
      <c r="E117" s="63">
        <f>E109/E108</f>
        <v>0.06301310627207932</v>
      </c>
      <c r="F117" s="63">
        <f aca="true" t="shared" si="20" ref="F117:R117">F109/F108</f>
        <v>0.07631652843491842</v>
      </c>
      <c r="G117" s="63">
        <f t="shared" si="20"/>
        <v>0.08889464221854132</v>
      </c>
      <c r="H117" s="63">
        <f t="shared" si="20"/>
        <v>0.06561938474840412</v>
      </c>
      <c r="I117" s="63">
        <f t="shared" si="20"/>
        <v>0.20229002894250503</v>
      </c>
      <c r="J117" s="63">
        <f t="shared" si="20"/>
        <v>0.9303765186675326</v>
      </c>
      <c r="K117" s="63">
        <f t="shared" si="20"/>
        <v>0</v>
      </c>
      <c r="L117" s="63">
        <f t="shared" si="20"/>
        <v>0</v>
      </c>
      <c r="M117" s="63">
        <f t="shared" si="20"/>
        <v>0</v>
      </c>
      <c r="N117" s="63">
        <f t="shared" si="20"/>
        <v>0</v>
      </c>
      <c r="O117" s="63">
        <f t="shared" si="20"/>
        <v>0</v>
      </c>
      <c r="P117" s="63">
        <f t="shared" si="20"/>
        <v>0</v>
      </c>
      <c r="Q117" s="63">
        <f t="shared" si="20"/>
        <v>0</v>
      </c>
      <c r="R117" s="63">
        <f t="shared" si="20"/>
        <v>0</v>
      </c>
      <c r="S117" s="59"/>
    </row>
    <row r="118" spans="1:19" ht="18" thickBot="1">
      <c r="A118" s="8" t="s">
        <v>131</v>
      </c>
      <c r="B118" s="11" t="s">
        <v>498</v>
      </c>
      <c r="C118" s="9" t="s">
        <v>244</v>
      </c>
      <c r="D118" s="9" t="s">
        <v>132</v>
      </c>
      <c r="E118" s="86">
        <f>E109/E108</f>
        <v>0.06301310627207932</v>
      </c>
      <c r="F118" s="86">
        <f>F109/E108</f>
        <v>0.06426876655559328</v>
      </c>
      <c r="G118" s="86">
        <f>G109/E108</f>
        <v>0.07355964698499368</v>
      </c>
      <c r="H118" s="86">
        <f>H109/E108</f>
        <v>0.08472200077710601</v>
      </c>
      <c r="I118" s="86">
        <f>I109/E108</f>
        <v>0.11783540164374227</v>
      </c>
      <c r="J118" s="86">
        <f>J109/E108</f>
        <v>0.3300266491059755</v>
      </c>
      <c r="K118" s="86">
        <f>K109/E108</f>
        <v>0</v>
      </c>
      <c r="L118" s="86">
        <f>L109/E108</f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59"/>
    </row>
    <row r="119" spans="1:19" ht="18" thickBot="1">
      <c r="A119" s="156" t="s">
        <v>133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8"/>
    </row>
    <row r="120" spans="1:19" ht="36" thickBot="1">
      <c r="A120" s="8" t="s">
        <v>134</v>
      </c>
      <c r="B120" s="11" t="s">
        <v>135</v>
      </c>
      <c r="C120" s="9" t="s">
        <v>136</v>
      </c>
      <c r="D120" s="9" t="s">
        <v>137</v>
      </c>
      <c r="E120" s="58">
        <f>Лист2!E103-Лист2!D103</f>
        <v>0</v>
      </c>
      <c r="F120" s="58">
        <f>Лист2!F103-Лист2!E103</f>
        <v>0</v>
      </c>
      <c r="G120" s="58">
        <f>Лист2!G103-Лист2!F103</f>
        <v>0</v>
      </c>
      <c r="H120" s="58">
        <f>Лист2!H103-Лист2!G103</f>
        <v>-9.600000000000017E-06</v>
      </c>
      <c r="I120" s="58">
        <f>Лист2!I103-Лист2!H103</f>
        <v>-9.311999999999981E-06</v>
      </c>
      <c r="J120" s="58">
        <f>Лист2!J103-Лист2!I103</f>
        <v>-9.032640000000008E-06</v>
      </c>
      <c r="K120" s="58">
        <f>Лист2!K103-Лист2!J103</f>
        <v>-8.761660799999984E-06</v>
      </c>
      <c r="L120" s="58">
        <f>Лист2!L103-Лист2!K103</f>
        <v>-8.498810976000017E-06</v>
      </c>
      <c r="M120" s="58">
        <f>Лист2!M103-Лист2!L103</f>
        <v>-8.243846646720026E-06</v>
      </c>
      <c r="N120" s="58">
        <f>Лист2!N103-Лист2!M103</f>
        <v>-7.996531247318403E-06</v>
      </c>
      <c r="O120" s="58">
        <f>Лист2!O103-Лист2!N103</f>
        <v>-7.756635309898857E-06</v>
      </c>
      <c r="P120" s="58">
        <f>Лист2!P103-Лист2!O103</f>
        <v>-7.5239362506018695E-06</v>
      </c>
      <c r="Q120" s="58">
        <f>Лист2!Q103-Лист2!P103</f>
        <v>-7.298218163083827E-06</v>
      </c>
      <c r="R120" s="70"/>
      <c r="S120" s="78" t="s">
        <v>138</v>
      </c>
    </row>
    <row r="121" spans="1:19" ht="35.25" thickBot="1">
      <c r="A121" s="8" t="s">
        <v>140</v>
      </c>
      <c r="B121" s="11" t="s">
        <v>141</v>
      </c>
      <c r="C121" s="9" t="s">
        <v>142</v>
      </c>
      <c r="D121" s="9" t="s">
        <v>143</v>
      </c>
      <c r="E121" s="62">
        <f>Лист2!E104-Лист2!D104</f>
        <v>0</v>
      </c>
      <c r="F121" s="62">
        <f>Лист2!F104-Лист2!E104</f>
        <v>0</v>
      </c>
      <c r="G121" s="62">
        <f>Лист2!G104-Лист2!F104</f>
        <v>0</v>
      </c>
      <c r="H121" s="62">
        <f>Лист2!H104-Лист2!G104</f>
        <v>-5.699999999999989</v>
      </c>
      <c r="I121" s="62">
        <f>Лист2!I104-Лист2!H104</f>
        <v>-5.528999999999996</v>
      </c>
      <c r="J121" s="62">
        <f>Лист2!J104-Лист2!I104</f>
        <v>-5.363130000000012</v>
      </c>
      <c r="K121" s="62">
        <f>Лист2!K104-Лист2!J104</f>
        <v>-5.202236099999993</v>
      </c>
      <c r="L121" s="62">
        <f>Лист2!L104-Лист2!K104</f>
        <v>-5.046169017000011</v>
      </c>
      <c r="M121" s="62">
        <f>Лист2!M104-Лист2!L104</f>
        <v>-4.8947839464900085</v>
      </c>
      <c r="N121" s="62">
        <f>Лист2!N104-Лист2!M104</f>
        <v>-4.747940428095291</v>
      </c>
      <c r="O121" s="62">
        <f>Лист2!O104-Лист2!N104</f>
        <v>-4.605502215252443</v>
      </c>
      <c r="P121" s="62">
        <f>Лист2!P104-Лист2!O104</f>
        <v>-4.467337148794854</v>
      </c>
      <c r="Q121" s="62">
        <f>Лист2!Q104-Лист2!P104</f>
        <v>-4.333317034331031</v>
      </c>
      <c r="R121" s="70"/>
      <c r="S121" s="78" t="s">
        <v>139</v>
      </c>
    </row>
    <row r="122" spans="1:19" ht="36" thickBot="1">
      <c r="A122" s="8" t="s">
        <v>144</v>
      </c>
      <c r="B122" s="11" t="s">
        <v>145</v>
      </c>
      <c r="C122" s="9" t="s">
        <v>225</v>
      </c>
      <c r="D122" s="9" t="s">
        <v>146</v>
      </c>
      <c r="E122" s="87">
        <f>Лист2!E109-Лист2!D109</f>
        <v>-4800000</v>
      </c>
      <c r="F122" s="87">
        <f>Лист2!F109-Лист2!E109</f>
        <v>-23300000</v>
      </c>
      <c r="G122" s="87">
        <f>Лист2!G109-Лист2!F109</f>
        <v>-1231360</v>
      </c>
      <c r="H122" s="87">
        <f>Лист2!H109-Лист2!G109</f>
        <v>-6347059.199999988</v>
      </c>
      <c r="I122" s="87">
        <f>Лист2!I109-Лист2!H109</f>
        <v>0</v>
      </c>
      <c r="J122" s="87">
        <f>Лист2!J109-Лист2!I109</f>
        <v>0</v>
      </c>
      <c r="K122" s="87">
        <f>Лист2!K109-Лист2!J109</f>
        <v>0</v>
      </c>
      <c r="L122" s="87">
        <f>Лист2!L109-Лист2!K109</f>
        <v>-6156647.423999995</v>
      </c>
      <c r="M122" s="87">
        <f>Лист2!M109-Лист2!L109</f>
        <v>-5971948.00127998</v>
      </c>
      <c r="N122" s="87">
        <f>Лист2!N109-Лист2!M109</f>
        <v>-5792789.561241597</v>
      </c>
      <c r="O122" s="87">
        <f>Лист2!O109-Лист2!N109</f>
        <v>-5619005.874404371</v>
      </c>
      <c r="P122" s="87">
        <f>Лист2!P109-Лист2!O109</f>
        <v>-5450435.698172212</v>
      </c>
      <c r="Q122" s="87">
        <f>Лист2!Q109-Лист2!P109</f>
        <v>-5286922.627227068</v>
      </c>
      <c r="R122" s="70"/>
      <c r="S122" s="79"/>
    </row>
    <row r="123" spans="1:19" ht="36" thickBot="1">
      <c r="A123" s="8" t="s">
        <v>147</v>
      </c>
      <c r="B123" s="11" t="s">
        <v>148</v>
      </c>
      <c r="C123" s="9" t="s">
        <v>149</v>
      </c>
      <c r="D123" s="9" t="s">
        <v>150</v>
      </c>
      <c r="E123" s="57">
        <f>Лист2!E107-Лист2!D107</f>
        <v>27929</v>
      </c>
      <c r="F123" s="57">
        <f>Лист2!F107-Лист2!E107</f>
        <v>112989</v>
      </c>
      <c r="G123" s="57">
        <f>Лист2!G107-Лист2!F107</f>
        <v>-142181.76839999994</v>
      </c>
      <c r="H123" s="57">
        <f>Лист2!H107-Лист2!G107</f>
        <v>-23703.936947999988</v>
      </c>
      <c r="I123" s="57">
        <f>Лист2!I107-Лист2!H107</f>
        <v>0</v>
      </c>
      <c r="J123" s="57">
        <f>Лист2!J107-Лист2!I107</f>
        <v>-96873.92743199994</v>
      </c>
      <c r="K123" s="57">
        <f>Лист2!K107-Лист2!J107</f>
        <v>-46260</v>
      </c>
      <c r="L123" s="57">
        <f>Лист2!L107-Лист2!K107</f>
        <v>-18698.801016599988</v>
      </c>
      <c r="M123" s="57">
        <f>Лист2!M107-Лист2!L107</f>
        <v>-18137.836986102047</v>
      </c>
      <c r="N123" s="57">
        <f>Лист2!N107-Лист2!M107</f>
        <v>-17593.7018765189</v>
      </c>
      <c r="O123" s="57">
        <f>Лист2!O107-Лист2!N107</f>
        <v>-17065.890820223372</v>
      </c>
      <c r="P123" s="57">
        <f>Лист2!P107-Лист2!O107</f>
        <v>-16553.914095616667</v>
      </c>
      <c r="Q123" s="57">
        <f>Лист2!Q107-Лист2!P107</f>
        <v>-16057.296672748169</v>
      </c>
      <c r="R123" s="70"/>
      <c r="S123" s="79"/>
    </row>
    <row r="124" spans="1:19" ht="36" thickBot="1">
      <c r="A124" s="8" t="s">
        <v>151</v>
      </c>
      <c r="B124" s="82" t="s">
        <v>152</v>
      </c>
      <c r="C124" s="9" t="s">
        <v>236</v>
      </c>
      <c r="D124" s="9" t="s">
        <v>153</v>
      </c>
      <c r="E124" s="87">
        <f>Лист2!E108-Лист2!D108</f>
        <v>8880000</v>
      </c>
      <c r="F124" s="87">
        <f>Лист2!F108-Лист2!E108</f>
        <v>-7851000</v>
      </c>
      <c r="G124" s="87">
        <f>Лист2!G108-Лист2!F108</f>
        <v>-3607839.9999999925</v>
      </c>
      <c r="H124" s="87">
        <f>Лист2!H108-Лист2!G108</f>
        <v>-1586764.8000000045</v>
      </c>
      <c r="I124" s="87">
        <f>Лист2!I108-Лист2!H108</f>
        <v>0</v>
      </c>
      <c r="J124" s="87">
        <f>Лист2!J108-Лист2!I108</f>
        <v>0</v>
      </c>
      <c r="K124" s="87">
        <f>Лист2!K108-Лист2!J108</f>
        <v>0</v>
      </c>
      <c r="L124" s="87">
        <f>Лист2!L108-Лист2!K108</f>
        <v>-1539161.8559999987</v>
      </c>
      <c r="M124" s="87">
        <f>Лист2!M108-Лист2!L108</f>
        <v>-1492987.000319995</v>
      </c>
      <c r="N124" s="87">
        <f>Лист2!N108-Лист2!M108</f>
        <v>-1448197.3903103992</v>
      </c>
      <c r="O124" s="87">
        <f>Лист2!O108-Лист2!N108</f>
        <v>-1404751.4686010927</v>
      </c>
      <c r="P124" s="87">
        <f>Лист2!P108-Лист2!O108</f>
        <v>-1362608.924543053</v>
      </c>
      <c r="Q124" s="87">
        <f>Лист2!Q108-Лист2!P108</f>
        <v>-1321730.656806767</v>
      </c>
      <c r="R124" s="70"/>
      <c r="S124" s="79"/>
    </row>
    <row r="125" spans="1:19" ht="36" thickBot="1">
      <c r="A125" s="8" t="s">
        <v>154</v>
      </c>
      <c r="B125" s="82" t="s">
        <v>155</v>
      </c>
      <c r="C125" s="9" t="s">
        <v>156</v>
      </c>
      <c r="D125" s="9" t="s">
        <v>157</v>
      </c>
      <c r="E125" s="87">
        <f>Лист2!E109-Лист2!D109</f>
        <v>-4800000</v>
      </c>
      <c r="F125" s="87">
        <f>Лист2!F109-Лист2!E109</f>
        <v>-23300000</v>
      </c>
      <c r="G125" s="87">
        <f>Лист2!G109-Лист2!F109</f>
        <v>-1231360</v>
      </c>
      <c r="H125" s="87">
        <f>Лист2!H109-Лист2!G109</f>
        <v>-6347059.199999988</v>
      </c>
      <c r="I125" s="87">
        <f>Лист2!I109-Лист2!H109</f>
        <v>0</v>
      </c>
      <c r="J125" s="87">
        <f>Лист2!J109-Лист2!I109</f>
        <v>0</v>
      </c>
      <c r="K125" s="87">
        <f>Лист2!K109-Лист2!J109</f>
        <v>0</v>
      </c>
      <c r="L125" s="87">
        <f>Лист2!L109-Лист2!K109</f>
        <v>-6156647.423999995</v>
      </c>
      <c r="M125" s="87">
        <f>Лист2!M109-Лист2!L109</f>
        <v>-5971948.00127998</v>
      </c>
      <c r="N125" s="87">
        <f>Лист2!N109-Лист2!M109</f>
        <v>-5792789.561241597</v>
      </c>
      <c r="O125" s="87">
        <f>Лист2!O109-Лист2!N109</f>
        <v>-5619005.874404371</v>
      </c>
      <c r="P125" s="87">
        <f>Лист2!P109-Лист2!O109</f>
        <v>-5450435.698172212</v>
      </c>
      <c r="Q125" s="87">
        <f>Лист2!Q109-Лист2!P109</f>
        <v>-5286922.627227068</v>
      </c>
      <c r="R125" s="70"/>
      <c r="S125" s="80"/>
    </row>
    <row r="126" spans="1:19" ht="18" thickBot="1">
      <c r="A126" s="156" t="s">
        <v>158</v>
      </c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8"/>
    </row>
    <row r="127" spans="1:19" ht="126" thickBot="1">
      <c r="A127" s="8" t="s">
        <v>159</v>
      </c>
      <c r="B127" s="11" t="s">
        <v>160</v>
      </c>
      <c r="C127" s="9" t="s">
        <v>375</v>
      </c>
      <c r="D127" s="9" t="s">
        <v>161</v>
      </c>
      <c r="E127" s="57">
        <f>Лист2!E110-Лист2!D110</f>
        <v>0</v>
      </c>
      <c r="F127" s="57">
        <f>Лист2!F110-Лист2!E110</f>
        <v>0</v>
      </c>
      <c r="G127" s="57">
        <f>Лист2!G110-Лист2!F110</f>
        <v>0</v>
      </c>
      <c r="H127" s="57">
        <f>Лист2!H110-Лист2!G110</f>
        <v>0</v>
      </c>
      <c r="I127" s="57">
        <f>Лист2!I110-Лист2!H110</f>
        <v>0</v>
      </c>
      <c r="J127" s="57">
        <f>Лист2!J110-Лист2!I110</f>
        <v>43</v>
      </c>
      <c r="K127" s="57">
        <f>Лист2!K110-Лист2!J110</f>
        <v>2</v>
      </c>
      <c r="L127" s="57">
        <f>Лист2!L110-Лист2!K110</f>
        <v>45</v>
      </c>
      <c r="M127" s="57">
        <f>Лист2!M110-Лист2!L110</f>
        <v>0</v>
      </c>
      <c r="N127" s="57">
        <f>Лист2!N110-Лист2!M110</f>
        <v>0</v>
      </c>
      <c r="O127" s="57">
        <f>Лист2!O110-Лист2!N110</f>
        <v>0</v>
      </c>
      <c r="P127" s="57">
        <f>Лист2!P110-Лист2!O110</f>
        <v>0</v>
      </c>
      <c r="Q127" s="57">
        <f>Лист2!Q110-Лист2!P110</f>
        <v>0</v>
      </c>
      <c r="R127" s="57"/>
      <c r="S127" s="76" t="s">
        <v>162</v>
      </c>
    </row>
    <row r="128" spans="1:19" ht="144" thickBot="1">
      <c r="A128" s="8" t="s">
        <v>164</v>
      </c>
      <c r="B128" s="11" t="s">
        <v>165</v>
      </c>
      <c r="C128" s="9" t="s">
        <v>375</v>
      </c>
      <c r="D128" s="9" t="s">
        <v>166</v>
      </c>
      <c r="E128" s="57">
        <f>Лист2!E111-Лист2!D111</f>
        <v>165.2800000000002</v>
      </c>
      <c r="F128" s="57">
        <f>Лист2!F111-Лист2!E111</f>
        <v>44.58999999999992</v>
      </c>
      <c r="G128" s="57">
        <f>Лист2!G111-Лист2!F111</f>
        <v>0</v>
      </c>
      <c r="H128" s="57">
        <f>Лист2!H111-Лист2!G111</f>
        <v>0</v>
      </c>
      <c r="I128" s="57">
        <f>Лист2!I111-Лист2!H111</f>
        <v>124.82999999999993</v>
      </c>
      <c r="J128" s="57">
        <f>Лист2!J111-Лист2!I111</f>
        <v>0</v>
      </c>
      <c r="K128" s="57">
        <f>Лист2!K111-Лист2!J111</f>
        <v>0</v>
      </c>
      <c r="L128" s="57">
        <f>Лист2!L111-Лист2!K111</f>
        <v>0</v>
      </c>
      <c r="M128" s="57">
        <f>Лист2!M111-Лист2!L111</f>
        <v>0</v>
      </c>
      <c r="N128" s="57">
        <f>Лист2!N111-Лист2!M111</f>
        <v>0</v>
      </c>
      <c r="O128" s="57">
        <f>Лист2!O111-Лист2!N111</f>
        <v>0</v>
      </c>
      <c r="P128" s="57">
        <f>Лист2!P111-Лист2!O111</f>
        <v>0</v>
      </c>
      <c r="Q128" s="57">
        <f>Лист2!Q111-Лист2!P111</f>
        <v>0</v>
      </c>
      <c r="R128" s="71"/>
      <c r="S128" s="59" t="s">
        <v>163</v>
      </c>
    </row>
    <row r="129" ht="60" customHeight="1">
      <c r="A129" s="19"/>
    </row>
  </sheetData>
  <sheetProtection/>
  <mergeCells count="33">
    <mergeCell ref="S7:S8"/>
    <mergeCell ref="Q11:Q12"/>
    <mergeCell ref="A10:S10"/>
    <mergeCell ref="P11:P12"/>
    <mergeCell ref="A7:A8"/>
    <mergeCell ref="J11:J12"/>
    <mergeCell ref="E7:R7"/>
    <mergeCell ref="I11:I12"/>
    <mergeCell ref="L11:L12"/>
    <mergeCell ref="G11:G12"/>
    <mergeCell ref="H11:H12"/>
    <mergeCell ref="N11:N12"/>
    <mergeCell ref="F11:F12"/>
    <mergeCell ref="K11:K12"/>
    <mergeCell ref="C4:S4"/>
    <mergeCell ref="K5:S5"/>
    <mergeCell ref="A6:S6"/>
    <mergeCell ref="A11:A12"/>
    <mergeCell ref="B11:B12"/>
    <mergeCell ref="C11:C12"/>
    <mergeCell ref="B7:B8"/>
    <mergeCell ref="C7:C8"/>
    <mergeCell ref="M11:M12"/>
    <mergeCell ref="D11:D12"/>
    <mergeCell ref="A126:S126"/>
    <mergeCell ref="A119:S119"/>
    <mergeCell ref="A62:S62"/>
    <mergeCell ref="A29:S29"/>
    <mergeCell ref="R11:R12"/>
    <mergeCell ref="S11:S12"/>
    <mergeCell ref="E11:E12"/>
    <mergeCell ref="A20:S20"/>
    <mergeCell ref="O11:O12"/>
  </mergeCells>
  <printOptions/>
  <pageMargins left="0.35" right="0.34" top="0.75" bottom="0.62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Бочкарев</dc:creator>
  <cp:keywords/>
  <dc:description/>
  <cp:lastModifiedBy>Тарасова</cp:lastModifiedBy>
  <cp:lastPrinted>2012-09-10T12:29:17Z</cp:lastPrinted>
  <dcterms:created xsi:type="dcterms:W3CDTF">2010-09-23T17:35:11Z</dcterms:created>
  <dcterms:modified xsi:type="dcterms:W3CDTF">2012-09-11T07:33:32Z</dcterms:modified>
  <cp:category/>
  <cp:version/>
  <cp:contentType/>
  <cp:contentStatus/>
</cp:coreProperties>
</file>